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heung\Documents\ccheung\00 Customer\00 By Region\00 广东\南方医科大学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1" i="1" l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<sst xmlns="http://schemas.openxmlformats.org/spreadsheetml/2006/main" count="5227" uniqueCount="2631">
  <si>
    <t>Book Title</t>
  </si>
  <si>
    <t>ISBN-13</t>
  </si>
  <si>
    <t>ISBN-10</t>
  </si>
  <si>
    <t>Publisher</t>
  </si>
  <si>
    <t>Edition</t>
  </si>
  <si>
    <t>Jumpstart</t>
  </si>
  <si>
    <t>OfferedOn</t>
  </si>
  <si>
    <t>2004 Pocket Book of Infectious Disease Therapy</t>
  </si>
  <si>
    <t>978-0-7817-3896-5</t>
  </si>
  <si>
    <t>0-7817-3896-2</t>
  </si>
  <si>
    <t>Lippincott Williams &amp; Wilkins</t>
  </si>
  <si>
    <t>12th_Edition</t>
  </si>
  <si>
    <t>OVIDSP</t>
  </si>
  <si>
    <t>5 Minute Consult Clinical Companion to Women's Health, The</t>
  </si>
  <si>
    <t>978-0-7817-8338-5</t>
  </si>
  <si>
    <t>0-7817-8338-0</t>
  </si>
  <si>
    <t>1st_Edition</t>
  </si>
  <si>
    <t>OVIDMD,OVIDSP</t>
  </si>
  <si>
    <t>5 Minute Pain Management Consult, The</t>
  </si>
  <si>
    <t>978-0-7817-6165-9</t>
  </si>
  <si>
    <t>0-7817-6165-4</t>
  </si>
  <si>
    <t>5-Minute Clinical Consult 2008, The</t>
  </si>
  <si>
    <t>978-0-7817-7608-0</t>
  </si>
  <si>
    <t>0-7817-7608-2</t>
  </si>
  <si>
    <t>16th_Edition</t>
  </si>
  <si>
    <t>5-Minute Clinical Consult 2009, The</t>
  </si>
  <si>
    <t>978-0-7817-7957-9</t>
  </si>
  <si>
    <t>0-7817-7957-X</t>
  </si>
  <si>
    <t>17th_Edition</t>
  </si>
  <si>
    <t>5-Minute Clinical Consult, The</t>
  </si>
  <si>
    <t>978-0-7817-6334-9</t>
  </si>
  <si>
    <t>0-7817-6334-7</t>
  </si>
  <si>
    <t>2007_Edition</t>
  </si>
  <si>
    <t>5-Minute Infectious Diseases Consult</t>
  </si>
  <si>
    <t>978-0-6833-0736-8</t>
  </si>
  <si>
    <t>0-6833-0736-3</t>
  </si>
  <si>
    <t>5-Minute Neurology Consult, The</t>
  </si>
  <si>
    <t>978-0-6833-0723-8</t>
  </si>
  <si>
    <t>0-6833-0723-1</t>
  </si>
  <si>
    <t>5-Minute Obstetrics &amp; Gynecology Consult, The</t>
  </si>
  <si>
    <t>978-0-7817-6942-6</t>
  </si>
  <si>
    <t>0-7817-6942-6</t>
  </si>
  <si>
    <t>5-Minute Orthopaedic Consult</t>
  </si>
  <si>
    <t>978-0-7817-9971-3</t>
  </si>
  <si>
    <t>0-7817-9971-6</t>
  </si>
  <si>
    <t>2nd_Edition</t>
  </si>
  <si>
    <t>5-Minute Pediatric Consult</t>
  </si>
  <si>
    <t>978-0-7817-5452-1</t>
  </si>
  <si>
    <t>0-7817-5452-6</t>
  </si>
  <si>
    <t>4th_Edition</t>
  </si>
  <si>
    <t>5-Minute Pediatric Consult, The</t>
  </si>
  <si>
    <t>978-0-7817-7577-9</t>
  </si>
  <si>
    <t>0-7817-7577-9</t>
  </si>
  <si>
    <t>5th_Edition</t>
  </si>
  <si>
    <t>5-Minute Sports Medicine Consult</t>
  </si>
  <si>
    <t>978-0-7817-3045-7</t>
  </si>
  <si>
    <t>0-7817-3045-7</t>
  </si>
  <si>
    <t>5-Minute Toxicology Consult</t>
  </si>
  <si>
    <t>978-0-6833-0202-8</t>
  </si>
  <si>
    <t>0-6833-0202-7</t>
  </si>
  <si>
    <t>5-Minute Urology Consult</t>
  </si>
  <si>
    <t>978-0-7817-2284-1</t>
  </si>
  <si>
    <t>0-7817-2284-5</t>
  </si>
  <si>
    <t>900 Questions: An Interventional Cardiology Board Review</t>
  </si>
  <si>
    <t>978-0-7817-7349-2</t>
  </si>
  <si>
    <t>0-7817-7349-0</t>
  </si>
  <si>
    <t>Abrams' Angiography: Interventional Radiology</t>
  </si>
  <si>
    <t>978-0-7817-4089-0</t>
  </si>
  <si>
    <t>0-7817-4089-4</t>
  </si>
  <si>
    <t>ACC Atlas of Pathophysiology</t>
  </si>
  <si>
    <t>978-1-5825-5364-1</t>
  </si>
  <si>
    <t>1-5825-5364-5</t>
  </si>
  <si>
    <t>Acid Related Diseases: Biology and Treatment</t>
  </si>
  <si>
    <t>978-0-7817-4123-1</t>
  </si>
  <si>
    <t>0-7817-4123-8</t>
  </si>
  <si>
    <t>ACLS Review Made Incredibly Easy!</t>
  </si>
  <si>
    <t>978-1-5825-5626-0</t>
  </si>
  <si>
    <t>1-5825-5626-1</t>
  </si>
  <si>
    <t>ACSM's Primary Care Sports Medicine</t>
  </si>
  <si>
    <t>978-0-7817-7028-6</t>
  </si>
  <si>
    <t>0-7817-7028-9</t>
  </si>
  <si>
    <t>Addiction Medicine: An Evidence-Based Handbook</t>
  </si>
  <si>
    <t>978-0-7817-6154-3</t>
  </si>
  <si>
    <t>0-7817-6154-9</t>
  </si>
  <si>
    <t>Adolescent Health Care: A Practical Guide</t>
  </si>
  <si>
    <t>978-0-7817-9256-1</t>
  </si>
  <si>
    <t>0-7817-9256-8</t>
  </si>
  <si>
    <t>978-0-7817-2897-3</t>
  </si>
  <si>
    <t>0-7817-2897-5</t>
  </si>
  <si>
    <t>Adolescent Medicine: A Handbook for Primary Care</t>
  </si>
  <si>
    <t>978-0-7817-5315-9</t>
  </si>
  <si>
    <t>0-7817-5315-5</t>
  </si>
  <si>
    <t>Adult &amp; Pediatric Spine, The</t>
  </si>
  <si>
    <t>978-0-7817-3549-0</t>
  </si>
  <si>
    <t>0-7817-3549-1</t>
  </si>
  <si>
    <t>3rd_Edition</t>
  </si>
  <si>
    <t>Adult &amp; Pediatric Urology</t>
  </si>
  <si>
    <t>978-0-7817-3220-8</t>
  </si>
  <si>
    <t>0-7817-3220-4</t>
  </si>
  <si>
    <t>Adult Hip, The</t>
  </si>
  <si>
    <t>978-0-7817-5092-9</t>
  </si>
  <si>
    <t>0-7817-5092-X</t>
  </si>
  <si>
    <t>Adult Knee, The</t>
  </si>
  <si>
    <t>978-0-7817-3247-5</t>
  </si>
  <si>
    <t>0-7817-3247-6</t>
  </si>
  <si>
    <t>Adult Reconstruction</t>
  </si>
  <si>
    <t>978-0-7817-9638-5</t>
  </si>
  <si>
    <t>0-7817-9638-5</t>
  </si>
  <si>
    <t>Advanced Practice Oncology and Palliative Care Guidelines</t>
  </si>
  <si>
    <t>978-0-7817-4331-0</t>
  </si>
  <si>
    <t>0-7817-4331-1</t>
  </si>
  <si>
    <t>Advances in Reconstructive Vaginal Surgery</t>
  </si>
  <si>
    <t>978-0-7817-6235-9</t>
  </si>
  <si>
    <t>0-7817-6235-9</t>
  </si>
  <si>
    <t>Aesthetics and Cosmetic Surgery for Darker Skin Types</t>
  </si>
  <si>
    <t>978-0-7817-8403-0</t>
  </si>
  <si>
    <t>0-7817-8403-4</t>
  </si>
  <si>
    <t>AHA Clinical Cardiac Consult</t>
  </si>
  <si>
    <t>978-0-7817-6490-2</t>
  </si>
  <si>
    <t>0-7817-6490-4</t>
  </si>
  <si>
    <t>All Things Nursing</t>
  </si>
  <si>
    <t>978-1-5825-5559-1</t>
  </si>
  <si>
    <t>1-5825-5559-1</t>
  </si>
  <si>
    <t>Alzheimer Disease and Other Dementias: A Practical Guide</t>
  </si>
  <si>
    <t>978-0-7817-6770-5</t>
  </si>
  <si>
    <t>0-7817-6770-9</t>
  </si>
  <si>
    <t>Anatomy &amp; Physiology Made Incredibly Easy!</t>
  </si>
  <si>
    <t>978-0-7817-8886-1</t>
  </si>
  <si>
    <t>0-7817-8886-2</t>
  </si>
  <si>
    <t>Anatomy &amp; Physiology Made Incredibly Visual!</t>
  </si>
  <si>
    <t>978-0-7817-8686-7</t>
  </si>
  <si>
    <t>0-7817-8686-X</t>
  </si>
  <si>
    <t>Anatomy &amp; Physiology: An Incredibly Easy! Workout</t>
  </si>
  <si>
    <t>978-0-7817-8303-3</t>
  </si>
  <si>
    <t>0-7817-8303-8</t>
  </si>
  <si>
    <t>Anesthesia for Genetic, Metabolic, and Dysmorphic Syndromes of Childhood</t>
  </si>
  <si>
    <t>978-0-7817-7938-8</t>
  </si>
  <si>
    <t>0-7817-7938-3</t>
  </si>
  <si>
    <t>Anesthesia Review</t>
  </si>
  <si>
    <t>978-0-7817-9444-2</t>
  </si>
  <si>
    <t>0-7817-9444-7</t>
  </si>
  <si>
    <t>Anesthesiology Keywords Review</t>
  </si>
  <si>
    <t>978-0-7817-8387-3</t>
  </si>
  <si>
    <t>0-7817-8387-9</t>
  </si>
  <si>
    <t>Antibiotics in Laboratory Medicine</t>
  </si>
  <si>
    <t>978-0-7817-4983-1</t>
  </si>
  <si>
    <t>0-7817-4983-2</t>
  </si>
  <si>
    <t>Antiepileptic Drugs</t>
  </si>
  <si>
    <t>978-0-7817-2321-3</t>
  </si>
  <si>
    <t>0-7817-2321-3</t>
  </si>
  <si>
    <t>Arthritis &amp; Allied Conditions</t>
  </si>
  <si>
    <t>978-0-7817-4671-7</t>
  </si>
  <si>
    <t>0-7817-4671-X</t>
  </si>
  <si>
    <t>15th_Edition</t>
  </si>
  <si>
    <t>Arthroscopic Knot Tying: An Instruction Manual</t>
  </si>
  <si>
    <t>978-0-7817-5903-8</t>
  </si>
  <si>
    <t>0-7817-5903-X</t>
  </si>
  <si>
    <t>Ask a Colleague: Expert Nurses Answer More Than 1,000 Complex Clinical Questions</t>
  </si>
  <si>
    <t>978-1-5825-5424-2</t>
  </si>
  <si>
    <t>1-5825-5424-2</t>
  </si>
  <si>
    <t>Assessment Made Incredibly Easy!</t>
  </si>
  <si>
    <t>978-0-7817-7910-4</t>
  </si>
  <si>
    <t>0-7817-7910-3</t>
  </si>
  <si>
    <t>Assessment: A 2-in-1 Reference for Nurses</t>
  </si>
  <si>
    <t>978-1-5825-5319-1</t>
  </si>
  <si>
    <t>1-5825-5319-X</t>
  </si>
  <si>
    <t>Assessment: An Incredibly Easy! Pocket Guide</t>
  </si>
  <si>
    <t>978-1-5825-5431-0</t>
  </si>
  <si>
    <t>1-5825-5431-5</t>
  </si>
  <si>
    <t>Assessment: An Incredibly Easy! Workout</t>
  </si>
  <si>
    <t>978-0-7817-8304-0</t>
  </si>
  <si>
    <t>0-7817-8304-6</t>
  </si>
  <si>
    <t>Atherothrombosis and Coronary Artery Disease</t>
  </si>
  <si>
    <t>978-0-7817-3583-4</t>
  </si>
  <si>
    <t>0-7817-3583-1</t>
  </si>
  <si>
    <t>Athlete's Elbow</t>
  </si>
  <si>
    <t>978-0-7817-2606-1</t>
  </si>
  <si>
    <t>0-7817-2606-9</t>
  </si>
  <si>
    <t>Atlas and Synopsis of Lever's Histopathology of the Skin</t>
  </si>
  <si>
    <t>978-0-7817-6845-0</t>
  </si>
  <si>
    <t>0-7817-6845-4</t>
  </si>
  <si>
    <t>Atlas of Adult Physical Diagnosis</t>
  </si>
  <si>
    <t>978-0-7817-4190-3</t>
  </si>
  <si>
    <t>0-7817-4190-4</t>
  </si>
  <si>
    <t>Atlas of Airway Management: Techniques and Tools</t>
  </si>
  <si>
    <t>978-0-7817-9724-5</t>
  </si>
  <si>
    <t>0-7817-9724-1</t>
  </si>
  <si>
    <t>Atlas of EEG Patterns</t>
  </si>
  <si>
    <t>978-0-7817-4124-8</t>
  </si>
  <si>
    <t>0-7817-4124-6</t>
  </si>
  <si>
    <t>Atlas of Foot and Ankle Sonography</t>
  </si>
  <si>
    <t>978-0-7817-4769-1</t>
  </si>
  <si>
    <t>0-7817-4769-4</t>
  </si>
  <si>
    <t>Atlas of Image-Guided Intervention in Regional Anesthesia and Pain Medicine</t>
  </si>
  <si>
    <t>978-0-7817-5181-0</t>
  </si>
  <si>
    <t>0-7817-5181-0</t>
  </si>
  <si>
    <t>Atlas of Infectious Diseases of the Female Genital Tract</t>
  </si>
  <si>
    <t>978-0-7817-5583-2</t>
  </si>
  <si>
    <t>0-7817-5583-2</t>
  </si>
  <si>
    <t>Atlas of Mammography</t>
  </si>
  <si>
    <t>978-0-7817-6433-9</t>
  </si>
  <si>
    <t>0-7817-6433-5</t>
  </si>
  <si>
    <t>Atlas of Mitral Valve Repair</t>
  </si>
  <si>
    <t>978-0-7817-4692-2</t>
  </si>
  <si>
    <t>0-7817-4692-2</t>
  </si>
  <si>
    <t>Atlas of Neonatal Electroencephalography</t>
  </si>
  <si>
    <t>978-0-7817-3445-5</t>
  </si>
  <si>
    <t>0-7817-3445-2</t>
  </si>
  <si>
    <t>Atlas of Neurologic Diagnosis and Treatment</t>
  </si>
  <si>
    <t>978-0-7817-5324-1</t>
  </si>
  <si>
    <t>0-7817-5324-4</t>
  </si>
  <si>
    <t>Atlas of Orthopaedic Surgery: A Multimedia Reference</t>
  </si>
  <si>
    <t>978-0-7817-1788-5</t>
  </si>
  <si>
    <t>0-7817-1788-4</t>
  </si>
  <si>
    <t>Atlas of Primary Care Procedures</t>
  </si>
  <si>
    <t>978-0-7817-3905-4</t>
  </si>
  <si>
    <t>0-7817-3905-5</t>
  </si>
  <si>
    <t>Atlas of Procedures in Neonatology</t>
  </si>
  <si>
    <t>978-0-7817-9042-0</t>
  </si>
  <si>
    <t>0-7817-9042-5</t>
  </si>
  <si>
    <t>Atlas of Transesophageal Echocardiography</t>
  </si>
  <si>
    <t>978-0-7817-5503-0</t>
  </si>
  <si>
    <t>0-7817-5503-4</t>
  </si>
  <si>
    <t>Atlas of Transnasal Esophagoscopy</t>
  </si>
  <si>
    <t>978-0-7817-5180-3</t>
  </si>
  <si>
    <t>0-7817-5180-2</t>
  </si>
  <si>
    <t>Atlas of Ultrasound in Obstetrics and Gynecology: A Multimedia Reference</t>
  </si>
  <si>
    <t>978-0-7817-3633-6</t>
  </si>
  <si>
    <t>0-7817-3633-1</t>
  </si>
  <si>
    <t>Atlas of Vascular Anatomy: An Angiographic Approach</t>
  </si>
  <si>
    <t>978-0-7817-6081-2</t>
  </si>
  <si>
    <t>0-7817-6081-X</t>
  </si>
  <si>
    <t>Avery's Neonatology</t>
  </si>
  <si>
    <t>978-0-7817-4643-4</t>
  </si>
  <si>
    <t>0-7817-4643-4</t>
  </si>
  <si>
    <t>6th_Edition</t>
  </si>
  <si>
    <t>Avoiding Common Anesthesia Errors</t>
  </si>
  <si>
    <t>978-0-7817-8847-2</t>
  </si>
  <si>
    <t>0-7817-8847-1</t>
  </si>
  <si>
    <t>Avoiding Common ICU Errors</t>
  </si>
  <si>
    <t>978-0-7817-6739-2</t>
  </si>
  <si>
    <t>0-7817-6739-3</t>
  </si>
  <si>
    <t>Avoiding Common Pediatric Errors</t>
  </si>
  <si>
    <t>978-0-7817-7489-5</t>
  </si>
  <si>
    <t>0-7817-7489-6</t>
  </si>
  <si>
    <t>Avoiding Common Surgical Errors</t>
  </si>
  <si>
    <t>978-0-7817-4742-4</t>
  </si>
  <si>
    <t>0-7817-4742-2</t>
  </si>
  <si>
    <t>Basic Concepts of Psychiatric-Mental Health Nursing</t>
  </si>
  <si>
    <t>978-0-7817-9707-8</t>
  </si>
  <si>
    <t>0-7817-9707-1</t>
  </si>
  <si>
    <t>7th_Edition</t>
  </si>
  <si>
    <t>978-0-7817-4517-8</t>
  </si>
  <si>
    <t>0-7817-4517-9</t>
  </si>
  <si>
    <t>Basic Orthopaedic Biomechanics and Mechano-Biology</t>
  </si>
  <si>
    <t>978-0-7817-3933-7</t>
  </si>
  <si>
    <t>0-7817-3933-0</t>
  </si>
  <si>
    <t>Behavioral Neurology of Movement Disorders: Advances in Neurology, Volume 96</t>
  </si>
  <si>
    <t>978-0-7817-5169-8</t>
  </si>
  <si>
    <t>0-7817-5169-1</t>
  </si>
  <si>
    <t>Behavioral Science in Medicine</t>
  </si>
  <si>
    <t>978-0-7817-3669-5</t>
  </si>
  <si>
    <t>0-7817-3669-2</t>
  </si>
  <si>
    <t>Bennett and Brachman's Hospital Infections</t>
  </si>
  <si>
    <t>978-0-7817-6383-7</t>
  </si>
  <si>
    <t>0-7817-6383-5</t>
  </si>
  <si>
    <t>Berek &amp; Novak's Gynecology</t>
  </si>
  <si>
    <t>978-0-7817-6805-4</t>
  </si>
  <si>
    <t>0-7817-6805-5</t>
  </si>
  <si>
    <t>14th_Edition</t>
  </si>
  <si>
    <t>Best of Incredibly Easy!</t>
  </si>
  <si>
    <t>978-1-5825-5446-4</t>
  </si>
  <si>
    <t>1-5825-5446-3</t>
  </si>
  <si>
    <t>Best Practices: Evidence-Based Nursing Procedures</t>
  </si>
  <si>
    <t>978-1-5825-5532-4</t>
  </si>
  <si>
    <t>1-5825-5532-X</t>
  </si>
  <si>
    <t>Bethesda Handbook of Clinical Hematology</t>
  </si>
  <si>
    <t>978-0-7817-4715-8</t>
  </si>
  <si>
    <t>0-7817-4715-5</t>
  </si>
  <si>
    <t>Bethesda Handbook of Clinical Oncology</t>
  </si>
  <si>
    <t>978-0-7817-5116-2</t>
  </si>
  <si>
    <t>0-7817-5116-0</t>
  </si>
  <si>
    <t>Biopsy Interpretation of the Breast</t>
  </si>
  <si>
    <t>978-0-7817-9146-5</t>
  </si>
  <si>
    <t>0-7817-9146-4</t>
  </si>
  <si>
    <t>Biopsy Interpretation of the Gastrointestinal Tract Mucosa</t>
  </si>
  <si>
    <t>978-0-7817-5563-4</t>
  </si>
  <si>
    <t>0-7817-5563-8</t>
  </si>
  <si>
    <t>Biopsy Interpretation of the Upper Aerodigestive Tract and Ear</t>
  </si>
  <si>
    <t>978-0-7817-9310-0</t>
  </si>
  <si>
    <t>0-7817-9310-6</t>
  </si>
  <si>
    <t>Bladder Biopsy Interpretation</t>
  </si>
  <si>
    <t>978-0-7817-4276-4</t>
  </si>
  <si>
    <t>0-7817-4276-5</t>
  </si>
  <si>
    <t>Bonica's Management of Pain</t>
  </si>
  <si>
    <t>978-0-6833-0462-6</t>
  </si>
  <si>
    <t>0-6833-0462-3</t>
  </si>
  <si>
    <t>Brachytherapy: Applications and Technique</t>
  </si>
  <si>
    <t>978-0-7817-6277-9</t>
  </si>
  <si>
    <t>0-7817-6277-4</t>
  </si>
  <si>
    <t>Bratton's Family Medicine Board Review</t>
  </si>
  <si>
    <t>978-0-7817-7287-7</t>
  </si>
  <si>
    <t>0-7817-7287-7</t>
  </si>
  <si>
    <t>Breast Imaging</t>
  </si>
  <si>
    <t>978-0-7817-4768-4</t>
  </si>
  <si>
    <t>0-7817-4768-6</t>
  </si>
  <si>
    <t>Breast Imaging Companion</t>
  </si>
  <si>
    <t>978-0-7817-6491-9</t>
  </si>
  <si>
    <t>0-7817-6491-2</t>
  </si>
  <si>
    <t>Breast Pathology: Diagnosis by Needle Core Biopsy</t>
  </si>
  <si>
    <t>978-0-7817-6094-2</t>
  </si>
  <si>
    <t>0-7817-6094-1</t>
  </si>
  <si>
    <t>Breast Ultrasound</t>
  </si>
  <si>
    <t>978-0-3975-1624-7</t>
  </si>
  <si>
    <t>0-3975-1624-X</t>
  </si>
  <si>
    <t>Breath Sounds Made Incredibly Easy!</t>
  </si>
  <si>
    <t>978-1-5825-5354-2</t>
  </si>
  <si>
    <t>1-5825-5354-8</t>
  </si>
  <si>
    <t>Burkhart's View of the Shoulder: A Cowboy's Guide to Advanced Shoulder Arthroscopy</t>
  </si>
  <si>
    <t>978-0-7817-8000-1</t>
  </si>
  <si>
    <t>0-7817-8000-4</t>
  </si>
  <si>
    <t>Cancer Chemotherapy &amp; Biotherapy: Principles &amp; Practices</t>
  </si>
  <si>
    <t>978-0-7817-5628-0</t>
  </si>
  <si>
    <t>0-7817-5628-6</t>
  </si>
  <si>
    <t>Cancer of the Nervous System</t>
  </si>
  <si>
    <t>978-0-7817-3731-9</t>
  </si>
  <si>
    <t>0-7817-3731-1</t>
  </si>
  <si>
    <t>Cancer: Principles &amp; Practice of Oncology</t>
  </si>
  <si>
    <t>978-0-7817-4865-0</t>
  </si>
  <si>
    <t>0-7817-4865-8</t>
  </si>
  <si>
    <t>Cardiac Nursing</t>
  </si>
  <si>
    <t>978-0-7817-4718-9</t>
  </si>
  <si>
    <t>0-7817-4718-X</t>
  </si>
  <si>
    <t>Cardiac Surgery: Safeguards and Pitfalls in Operative Technique</t>
  </si>
  <si>
    <t>978-0-7817-6950-1</t>
  </si>
  <si>
    <t>0-7817-6950-7</t>
  </si>
  <si>
    <t>Cardiopulmonary Bypass: Principles and Practice</t>
  </si>
  <si>
    <t>978-0-7817-6815-3</t>
  </si>
  <si>
    <t>0-7817-6815-2</t>
  </si>
  <si>
    <t>Cardiovascular Care Made Incredibly Easy!</t>
  </si>
  <si>
    <t>978-0-7817-8824-3</t>
  </si>
  <si>
    <t>0-7817-8824-2</t>
  </si>
  <si>
    <t>Cardiovascular Care Made Incredibly Visual!</t>
  </si>
  <si>
    <t>978-1-5825-5636-9</t>
  </si>
  <si>
    <t>1-5825-5636-9</t>
  </si>
  <si>
    <t>Cardiovascular MR Imaging: Physical Principles to Practical Protocols</t>
  </si>
  <si>
    <t>978-0-7817-7996-8</t>
  </si>
  <si>
    <t>0-7817-7996-0</t>
  </si>
  <si>
    <t>Cardiovascular MRI Tutorial: Lectures and Learning</t>
  </si>
  <si>
    <t>978-0-7817-7216-7</t>
  </si>
  <si>
    <t>0-7817-7216-8</t>
  </si>
  <si>
    <t>Care of the Newborn: A Handbook for Primary Care</t>
  </si>
  <si>
    <t>978-0-7817-5585-6</t>
  </si>
  <si>
    <t>0-7817-5585-9</t>
  </si>
  <si>
    <t>Carotid Artery Stenting: Current Practice and Techniques</t>
  </si>
  <si>
    <t>978-0-7817-4385-3</t>
  </si>
  <si>
    <t>0-7817-4385-0</t>
  </si>
  <si>
    <t>Cervical Spine Surgery Atlas, The</t>
  </si>
  <si>
    <t>978-0-7817-4435-5</t>
  </si>
  <si>
    <t>0-7817-4435-0</t>
  </si>
  <si>
    <t>Cervical Spine, The</t>
  </si>
  <si>
    <t>978-0-7817-3576-6</t>
  </si>
  <si>
    <t>0-7817-3576-9</t>
  </si>
  <si>
    <t>Chapman's Orthopaedic Surgery</t>
  </si>
  <si>
    <t>978-0-7817-1487-7</t>
  </si>
  <si>
    <t>0-7817-1487-7</t>
  </si>
  <si>
    <t>Chart Smart: The A-to-Z Guide to Better Nursing Documentation</t>
  </si>
  <si>
    <t>978-1-5825-5987-2</t>
  </si>
  <si>
    <t>1-5825-5987-2</t>
  </si>
  <si>
    <t>Charting Made Incredibly Easy</t>
  </si>
  <si>
    <t>978-1-5825-5393-1</t>
  </si>
  <si>
    <t>1-5825-5393-9</t>
  </si>
  <si>
    <t>Charting: An Incredibly Easy! Pocket Guide</t>
  </si>
  <si>
    <t>978-1-5825-5538-6</t>
  </si>
  <si>
    <t>1-5825-5538-9</t>
  </si>
  <si>
    <t>Chemotherapy Source Book</t>
  </si>
  <si>
    <t>978-0-7817-2363-3</t>
  </si>
  <si>
    <t>0-7817-2363-9</t>
  </si>
  <si>
    <t>Lippincott Williams &amp; Wilkins (except for Chapter 67, which is copyrighted by Mayo Foundation)</t>
  </si>
  <si>
    <t>Chemotherapy Source Book, The</t>
  </si>
  <si>
    <t>978-0-7817-7328-7</t>
  </si>
  <si>
    <t>0-7817-7328-8</t>
  </si>
  <si>
    <t>Cherry &amp; Merkatz's Complications of Pregnancy</t>
  </si>
  <si>
    <t>978-0-6830-1673-4</t>
  </si>
  <si>
    <t>0-6830-1673-3</t>
  </si>
  <si>
    <t>Chest Radiology: The Essentials</t>
  </si>
  <si>
    <t>978-0-7817-6314-1</t>
  </si>
  <si>
    <t>0-7817-6314-2</t>
  </si>
  <si>
    <t>Child &amp; Adolescent Clinical Psychopharmacology</t>
  </si>
  <si>
    <t>978-0-7817-5950-2</t>
  </si>
  <si>
    <t>0-7817-5950-1</t>
  </si>
  <si>
    <t>Child and Adolescent Neurology for Psychiatrists</t>
  </si>
  <si>
    <t>978-0-7817-7191-7</t>
  </si>
  <si>
    <t>0-7817-7191-9</t>
  </si>
  <si>
    <t>Child and Adolescent Psychiatry: A Practical Guide</t>
  </si>
  <si>
    <t>978-0-7817-7831-2</t>
  </si>
  <si>
    <t>0-7817-7831-X</t>
  </si>
  <si>
    <t>Child and Adolescent Psychiatry: The Essentials</t>
  </si>
  <si>
    <t>978-0-7817-5187-2</t>
  </si>
  <si>
    <t>0-7817-5187-X</t>
  </si>
  <si>
    <t>Child Neurology</t>
  </si>
  <si>
    <t>978-0-7817-5104-9</t>
  </si>
  <si>
    <t>0-7817-5104-7</t>
  </si>
  <si>
    <t>Chronic Disorders: An Incredibly Easy! Pocket Guide</t>
  </si>
  <si>
    <t>978-0-7817-8688-1</t>
  </si>
  <si>
    <t>0-7817-8688-6</t>
  </si>
  <si>
    <t>Cleveland Clinic Cardiology Board Review, The</t>
  </si>
  <si>
    <t>978-0-7817-5942-7</t>
  </si>
  <si>
    <t>0-7817-5942-0</t>
  </si>
  <si>
    <t>Cleveland Clinic Intensive Review of Pediatrics, The</t>
  </si>
  <si>
    <t>978-0-7817-7115-3</t>
  </si>
  <si>
    <t>0-7817-7115-3</t>
  </si>
  <si>
    <t>Clinical Anesthesia</t>
  </si>
  <si>
    <t>978-0-7817-5745-4</t>
  </si>
  <si>
    <t>0-7817-5745-2</t>
  </si>
  <si>
    <t>Clinical Anesthesia Procedures of the Massachusetts General Hospital</t>
  </si>
  <si>
    <t>978-0-7817-8183-1</t>
  </si>
  <si>
    <t>0-7817-8183-3</t>
  </si>
  <si>
    <t>Clinical Breast Imaging: A Patient Focused Teaching File</t>
  </si>
  <si>
    <t>978-0-7817-6267-0</t>
  </si>
  <si>
    <t>0-7817-6267-7</t>
  </si>
  <si>
    <t>Clinical Calculations Made Easy: Solving Problems Using Dimensional Analysis</t>
  </si>
  <si>
    <t>978-0-7817-4838-4</t>
  </si>
  <si>
    <t>0-7817-4838-0</t>
  </si>
  <si>
    <t>Clinical Cardiac Electrophysiology: Techniques and Interpretations</t>
  </si>
  <si>
    <t>978-0-6833-0693-4</t>
  </si>
  <si>
    <t>0-6833-0693-6</t>
  </si>
  <si>
    <t>978-0-7817-7739-1</t>
  </si>
  <si>
    <t>0-7817-7739-9</t>
  </si>
  <si>
    <t>Clinical Dietitian's Essential Pocket Guide,The: Essential Pocket Guide</t>
  </si>
  <si>
    <t>978-0-7817-8829-8</t>
  </si>
  <si>
    <t>0-7817-8829-3</t>
  </si>
  <si>
    <t>Clinical Epidemiology: How to Do Clinical Practice Research</t>
  </si>
  <si>
    <t>978-0-7817-4524-6</t>
  </si>
  <si>
    <t>0-7817-4524-1</t>
  </si>
  <si>
    <t>Clinical Geriatric Psychopharmacology</t>
  </si>
  <si>
    <t>978-0-7817-4380-8</t>
  </si>
  <si>
    <t>0-7817-4380-X</t>
  </si>
  <si>
    <t>Clinical Guide for Contraception, A</t>
  </si>
  <si>
    <t>978-0-7817-6488-9</t>
  </si>
  <si>
    <t>0-7817-6488-2</t>
  </si>
  <si>
    <t>Clinical Guide to Pediatric Infectious Disease, A</t>
  </si>
  <si>
    <t>978-0-7817-5584-9</t>
  </si>
  <si>
    <t>0-7817-5584-0</t>
  </si>
  <si>
    <t>Clinical Guide to Pediatric Weight Management and Obesity, A</t>
  </si>
  <si>
    <t>978-0-7817-6480-3</t>
  </si>
  <si>
    <t>0-7817-6480-7</t>
  </si>
  <si>
    <t>Clinical Guide: Skin and Wound Care: Skin &amp; Wound Care</t>
  </si>
  <si>
    <t>978-1-5825-5688-8</t>
  </si>
  <si>
    <t>1-5825-5688-1</t>
  </si>
  <si>
    <t>Clinical Guide: Wound Care</t>
  </si>
  <si>
    <t>978-1-5825-5294-1</t>
  </si>
  <si>
    <t>1-5825-5294-0</t>
  </si>
  <si>
    <t>Clinical Gynecologic Endocrinology &amp; Infertility</t>
  </si>
  <si>
    <t>978-0-7817-4795-0</t>
  </si>
  <si>
    <t>0-7817-4795-3</t>
  </si>
  <si>
    <t>Clinical Handbook of Psychiatry and the Law</t>
  </si>
  <si>
    <t>978-0-7817-7891-6</t>
  </si>
  <si>
    <t>0-7817-7891-3</t>
  </si>
  <si>
    <t>Clinical Imaging: An Atlas of Differential Diagnosis</t>
  </si>
  <si>
    <t>978-0-7817-3234-5</t>
  </si>
  <si>
    <t>0-7817-3234-4</t>
  </si>
  <si>
    <t>Clinical Laboratory Medicine</t>
  </si>
  <si>
    <t>978-0-6833-0751-1</t>
  </si>
  <si>
    <t>0-6833-0751-7</t>
  </si>
  <si>
    <t>Clinical Manual of Contact Lenses</t>
  </si>
  <si>
    <t>978-0-7817-7829-9</t>
  </si>
  <si>
    <t>0-7817-7829-8</t>
  </si>
  <si>
    <t>Clinical Neurology: From the Classroom to the Exam Room</t>
  </si>
  <si>
    <t>978-0-7817-7395-9</t>
  </si>
  <si>
    <t>0-7817-7395-4</t>
  </si>
  <si>
    <t>Clinical Pharmacology Made Incredibly Easy!</t>
  </si>
  <si>
    <t>978-0-7817-8938-7</t>
  </si>
  <si>
    <t>0-7817-8938-9</t>
  </si>
  <si>
    <t>Clinical Practice of Neurological &amp; Neurosurgical Nursing</t>
  </si>
  <si>
    <t>978-0-7817-2660-3</t>
  </si>
  <si>
    <t>0-7817-2660-3</t>
  </si>
  <si>
    <t>Clinical Scenarios in Surgical Oncology</t>
  </si>
  <si>
    <t>978-0-7817-5466-8</t>
  </si>
  <si>
    <t>0-7817-5466-6</t>
  </si>
  <si>
    <t>Clinical Scenarios in Thoracic Surgery</t>
  </si>
  <si>
    <t>978-0-7817-4797-4</t>
  </si>
  <si>
    <t>0-7817-4797-X</t>
  </si>
  <si>
    <t>Clinical Scenarios in Vascular Surgery</t>
  </si>
  <si>
    <t>978-0-7817-5262-6</t>
  </si>
  <si>
    <t>0-7817-5262-0</t>
  </si>
  <si>
    <t>Clinical Sleep Disorders</t>
  </si>
  <si>
    <t>978-0-7817-4637-3</t>
  </si>
  <si>
    <t>0-7817-4637-X</t>
  </si>
  <si>
    <t>Clinical Use of Pediatric Diagnostic Tests</t>
  </si>
  <si>
    <t>978-0-7817-3605-3</t>
  </si>
  <si>
    <t>0-7817-3605-6</t>
  </si>
  <si>
    <t>Clinician's Guide to Antiepileptic Drug Use</t>
  </si>
  <si>
    <t>978-0-7817-6064-5</t>
  </si>
  <si>
    <t>0-7817-6064-X</t>
  </si>
  <si>
    <t>CMSA Core Curriculum for Case Management</t>
  </si>
  <si>
    <t>978-0-7817-7917-3</t>
  </si>
  <si>
    <t>0-7817-7917-0</t>
  </si>
  <si>
    <t>Cognitive Behavioral Therapy for Clinicians: Psychotherapy in Clinical Practice</t>
  </si>
  <si>
    <t>978-0-7817-6044-7</t>
  </si>
  <si>
    <t>0-7817-6044-5</t>
  </si>
  <si>
    <t>Colon and Rectal Surgery</t>
  </si>
  <si>
    <t>978-0-7817-4043-2</t>
  </si>
  <si>
    <t>0-7817-4043-6</t>
  </si>
  <si>
    <t>Color Atlas and Text of Pulmonary Pathology</t>
  </si>
  <si>
    <t>978-0-7817-8208-1</t>
  </si>
  <si>
    <t>0-7817-8208-2</t>
  </si>
  <si>
    <t>Complementary Fat Grafting</t>
  </si>
  <si>
    <t>978-0-7817-6424-7</t>
  </si>
  <si>
    <t>0-7817-6424-6</t>
  </si>
  <si>
    <t>Complete Guide to Documentation</t>
  </si>
  <si>
    <t>978-1-5825-5556-0</t>
  </si>
  <si>
    <t>1-5825-5556-7</t>
  </si>
  <si>
    <t>Complete Guide to Vascular Ultrasound, The</t>
  </si>
  <si>
    <t>978-0-7817-5346-3</t>
  </si>
  <si>
    <t>0-7817-5346-5</t>
  </si>
  <si>
    <t>Complex and Revision Problems in Shoulder Surgery</t>
  </si>
  <si>
    <t>978-0-7817-4658-8</t>
  </si>
  <si>
    <t>0-7817-4658-2</t>
  </si>
  <si>
    <t>Complications in Anesthesiology</t>
  </si>
  <si>
    <t>978-0-7817-8263-0</t>
  </si>
  <si>
    <t>0-7817-8263-5</t>
  </si>
  <si>
    <t>Complications in Surgery</t>
  </si>
  <si>
    <t>978-0-7817-5316-6</t>
  </si>
  <si>
    <t>0-7817-5316-3</t>
  </si>
  <si>
    <t>Complications of Shoulder Surgery: Treatment and Prevention</t>
  </si>
  <si>
    <t>978-0-7817-5729-4</t>
  </si>
  <si>
    <t>0-7817-5729-0</t>
  </si>
  <si>
    <t>Complications of Spine Surgery: Treatment and Prevention</t>
  </si>
  <si>
    <t>978-0-7817-5791-1</t>
  </si>
  <si>
    <t>0-7817-5791-6</t>
  </si>
  <si>
    <t>Comprehensive Atlas of Transplantation</t>
  </si>
  <si>
    <t>978-0-7817-4497-3</t>
  </si>
  <si>
    <t>0-7817-4497-0</t>
  </si>
  <si>
    <t>Comprehensive Facial Rejuvenation : A Practical and Systematic Guide to Surgical Management of the Aging Face</t>
  </si>
  <si>
    <t>978-0-7817-5093-6</t>
  </si>
  <si>
    <t>0-7817-5093-8</t>
  </si>
  <si>
    <t>Comprehensive Review of Psychiatry</t>
  </si>
  <si>
    <t>978-0-7817-7176-4</t>
  </si>
  <si>
    <t>0-7817-7176-5</t>
  </si>
  <si>
    <t>Computed Body Tomography with MRI Correlation</t>
  </si>
  <si>
    <t>978-0-7817-4526-0</t>
  </si>
  <si>
    <t>0-7817-4526-8</t>
  </si>
  <si>
    <t>Computed Tomography and Magnetic Resonance of the Thorax</t>
  </si>
  <si>
    <t>978-0-7817-5765-2</t>
  </si>
  <si>
    <t>0-7817-5765-7</t>
  </si>
  <si>
    <t>Concise Cardiology: An Evidence-Based Handbook</t>
  </si>
  <si>
    <t>978-0-7817-8509-9</t>
  </si>
  <si>
    <t>0-7817-8509-X</t>
  </si>
  <si>
    <t>Concise Guide to Orthopaedic &amp; Musculoskeletal Impairment Ratings, A</t>
  </si>
  <si>
    <t>978-0-7817-6566-4</t>
  </si>
  <si>
    <t>0-7817-6566-8</t>
  </si>
  <si>
    <t>Congestive Heart Failure</t>
  </si>
  <si>
    <t>978-0-7817-6285-4</t>
  </si>
  <si>
    <t>0-7817-6285-5</t>
  </si>
  <si>
    <t>Core Curriculum for Infusion Nursing</t>
  </si>
  <si>
    <t>978-0-7817-4657-1</t>
  </si>
  <si>
    <t>0-7817-4657-4</t>
  </si>
  <si>
    <t>Core Curriculum, The: Breast Imaging</t>
  </si>
  <si>
    <t>978-0-7817-4685-4</t>
  </si>
  <si>
    <t>0-7817-4685-X</t>
  </si>
  <si>
    <t>Core Curriculum, The: Cardiopulmonary Imaging</t>
  </si>
  <si>
    <t>978-0-7817-3655-8</t>
  </si>
  <si>
    <t>0-7817-3655-2</t>
  </si>
  <si>
    <t>Core Curriculum, The: Pediatric Imaging</t>
  </si>
  <si>
    <t>978-0-7817-5980-9</t>
  </si>
  <si>
    <t>0-7817-5980-3</t>
  </si>
  <si>
    <t>Core Curriculum, The: Ultrasound</t>
  </si>
  <si>
    <t>978-0-6833-0733-7</t>
  </si>
  <si>
    <t>0-6833-0733-9</t>
  </si>
  <si>
    <t>Critical Care Challenges: Disorders, Treatments, and Procedures</t>
  </si>
  <si>
    <t>978-1-5825-5241-5</t>
  </si>
  <si>
    <t>1-5825-5241-X</t>
  </si>
  <si>
    <t>Critical Care Medicine: The Essentials</t>
  </si>
  <si>
    <t>978-0-7817-3916-0</t>
  </si>
  <si>
    <t>0-7817-3916-0</t>
  </si>
  <si>
    <t>Critical Care Nursing in a Flash</t>
  </si>
  <si>
    <t>978-0-7817-9284-4</t>
  </si>
  <si>
    <t>0-7817-9284-3</t>
  </si>
  <si>
    <t>Critical Care Nursing Made Incredibly Easy!</t>
  </si>
  <si>
    <t>978-1-5825-5560-7</t>
  </si>
  <si>
    <t>1-5825-5560-5</t>
  </si>
  <si>
    <t>Critical Pathways in Cardiology</t>
  </si>
  <si>
    <t>978-0-7817-2621-4</t>
  </si>
  <si>
    <t>0-7817-2621-2</t>
  </si>
  <si>
    <t>Critical Pathways in Cardiovascular Medicine</t>
  </si>
  <si>
    <t>978-0-7817-9439-8</t>
  </si>
  <si>
    <t>0-7817-9439-0</t>
  </si>
  <si>
    <t>Crucial Principles in Care of the Knee, The</t>
  </si>
  <si>
    <t>978-0-7817-7250-1</t>
  </si>
  <si>
    <t>0-7817-7250-8</t>
  </si>
  <si>
    <t>CT and MR Angiography: Comprehensive Vascular Assessment</t>
  </si>
  <si>
    <t>978-0-7817-4525-3</t>
  </si>
  <si>
    <t>0-7817-4525-X</t>
  </si>
  <si>
    <t>CT and MRI of the Abdomen and Pelvis: A Teaching File</t>
  </si>
  <si>
    <t>978-0-7817-7237-2</t>
  </si>
  <si>
    <t>0-7817-7237-0</t>
  </si>
  <si>
    <t>CT Urography: An Atlas</t>
  </si>
  <si>
    <t>978-0-7817-8754-3</t>
  </si>
  <si>
    <t>0-7817-8754-8</t>
  </si>
  <si>
    <t>Current Practice of Clinical Electroencephalography</t>
  </si>
  <si>
    <t>978-0-7817-1694-9</t>
  </si>
  <si>
    <t>0-7817-1694-2</t>
  </si>
  <si>
    <t>Danforth's Obstetrics and Gynecology</t>
  </si>
  <si>
    <t>978-0-7817-6937-2</t>
  </si>
  <si>
    <t>0-7817-6937-X</t>
  </si>
  <si>
    <t>10th_Edition</t>
  </si>
  <si>
    <t>Daniel's Knee Injuries: Ligament and Cartilage Structure, Function, Injury, and Repair</t>
  </si>
  <si>
    <t>978-0-7817-1817-2</t>
  </si>
  <si>
    <t>0-7817-1817-1</t>
  </si>
  <si>
    <t>DeJong's The Neurologic Examination</t>
  </si>
  <si>
    <t>978-0-7817-2767-9</t>
  </si>
  <si>
    <t>0-7817-2767-7</t>
  </si>
  <si>
    <t>Designing Clinical Research</t>
  </si>
  <si>
    <t>978-0-7817-8210-4</t>
  </si>
  <si>
    <t>0-7817-8210-4</t>
  </si>
  <si>
    <t>Developmental and Behavioral Pediatrics: A Handbook for Primary Care</t>
  </si>
  <si>
    <t>978-0-7817-1683-3</t>
  </si>
  <si>
    <t>0-7817-1683-7</t>
  </si>
  <si>
    <t>Devita, Hellman &amp; Rosenberg's Cancer: Principles &amp; Practice of Oncology</t>
  </si>
  <si>
    <t>978-0-7817-7207-5</t>
  </si>
  <si>
    <t>0-7817-7207-9</t>
  </si>
  <si>
    <t>8th_Edition</t>
  </si>
  <si>
    <t>DeVita, Hellman, and Rosenberg's Cancer: Principles and Practice of Oncology Review</t>
  </si>
  <si>
    <t>978-0-7817-5278-7</t>
  </si>
  <si>
    <t>0-7817-5278-7</t>
  </si>
  <si>
    <t>Diabetes Management in the Primary Care Setting</t>
  </si>
  <si>
    <t>978-0-7817-8762-8</t>
  </si>
  <si>
    <t>0-7817-8762-9</t>
  </si>
  <si>
    <t>Diabetes Mellitus in Women: Adolescence, Pregnancy, and Menopause</t>
  </si>
  <si>
    <t>978-0-7817-3861-3</t>
  </si>
  <si>
    <t>0-7817-3861-X</t>
  </si>
  <si>
    <t>Diabetes Mellitus: A Fundamental and Clinical Text</t>
  </si>
  <si>
    <t>978-0-7817-4097-5</t>
  </si>
  <si>
    <t>0-7817-4097-5</t>
  </si>
  <si>
    <t>Diabetes Mellitus: A Guide to Patient Care</t>
  </si>
  <si>
    <t>978-1-5825-5732-8</t>
  </si>
  <si>
    <t>1-5825-5732-2</t>
  </si>
  <si>
    <t>Diabetes Mellitus: Guia de Manejo Del Paciente</t>
  </si>
  <si>
    <t>978-8-4935-5835-2</t>
  </si>
  <si>
    <t>8-4935-5835-4</t>
  </si>
  <si>
    <t>Diabetic Foot Lower Extremity Arterial Disease and Limb Salvage</t>
  </si>
  <si>
    <t>978-0-7817-6068-3</t>
  </si>
  <si>
    <t>0-7817-6068-2</t>
  </si>
  <si>
    <t>Diagnostic Imaging of Coronary Artery Disease</t>
  </si>
  <si>
    <t>978-0-7817-6602-9</t>
  </si>
  <si>
    <t>0-7817-6602-8</t>
  </si>
  <si>
    <t>Diagnostic Neuropathology Smears</t>
  </si>
  <si>
    <t>978-0-7817-8647-8</t>
  </si>
  <si>
    <t>0-7817-8647-9</t>
  </si>
  <si>
    <t>Diagnostic Test Facts Made Incredibly Quick!</t>
  </si>
  <si>
    <t>978-1-5825-5685-7</t>
  </si>
  <si>
    <t>1-5825-5685-7</t>
  </si>
  <si>
    <t>Diagnostic Tests Made Incredibly Easy!</t>
  </si>
  <si>
    <t>978-0-7817-8690-4</t>
  </si>
  <si>
    <t>0-7817-8690-8</t>
  </si>
  <si>
    <t>Differential Diagnosis in Orthopaedic Oncology</t>
  </si>
  <si>
    <t>978-0-7817-7930-2</t>
  </si>
  <si>
    <t>0-7817-7930-8</t>
  </si>
  <si>
    <t>Differential Diagnosis in Primary Care</t>
  </si>
  <si>
    <t>978-0-7817-6812-2</t>
  </si>
  <si>
    <t>0-7817-6812-8</t>
  </si>
  <si>
    <t>Digital Mammography</t>
  </si>
  <si>
    <t>978-0-7817-4142-2</t>
  </si>
  <si>
    <t>0-7817-4142-4</t>
  </si>
  <si>
    <t>Disaster Medicine</t>
  </si>
  <si>
    <t>978-0-7817-6262-5</t>
  </si>
  <si>
    <t>0-7817-6262-6</t>
  </si>
  <si>
    <t>Diseases of the Breast</t>
  </si>
  <si>
    <t>978-0-7817-4619-9</t>
  </si>
  <si>
    <t>0-7817-4619-1</t>
  </si>
  <si>
    <t>Diseases of the Eye and Skin: A Color Atlas</t>
  </si>
  <si>
    <t>978-0-7817-4999-2</t>
  </si>
  <si>
    <t>0-7817-4999-9</t>
  </si>
  <si>
    <t>Diseases of the Kidney &amp; Urinary Tract</t>
  </si>
  <si>
    <t>978-0-7817-9307-0</t>
  </si>
  <si>
    <t>0-7817-9307-6</t>
  </si>
  <si>
    <t>Diseases of the Orbit: A Multidisciplinary Approach</t>
  </si>
  <si>
    <t>978-0-7817-1512-6</t>
  </si>
  <si>
    <t>0-7817-1512-1</t>
  </si>
  <si>
    <t>Diseases: A Nursing Process Approach to Excellent Care</t>
  </si>
  <si>
    <t>978-1-5825-5290-3</t>
  </si>
  <si>
    <t>1-5825-5290-8</t>
  </si>
  <si>
    <t>Disorders of the Patellofemoral Joint</t>
  </si>
  <si>
    <t>978-0-7817-4081-4</t>
  </si>
  <si>
    <t>0-7817-4081-9</t>
  </si>
  <si>
    <t>Disorders of the Shoulder: Diagnosis and Management</t>
  </si>
  <si>
    <t>978-0-7817-5678-5</t>
  </si>
  <si>
    <t>0-7817-5678-2</t>
  </si>
  <si>
    <t>Documentation in Action</t>
  </si>
  <si>
    <t>978-1-5825-5412-9</t>
  </si>
  <si>
    <t>1-5825-5412-9</t>
  </si>
  <si>
    <t>Dosage Calculations Made Incredibly Easy!</t>
  </si>
  <si>
    <t>978-1-5825-5392-4</t>
  </si>
  <si>
    <t>1-5825-5392-0</t>
  </si>
  <si>
    <t>Dosage Calculations: An Incredibly Easy! Pocket Guide</t>
  </si>
  <si>
    <t>978-1-5825-5537-9</t>
  </si>
  <si>
    <t>1-5825-5537-0</t>
  </si>
  <si>
    <t>Dosage Calculations: An Incredibly Easy! Workout</t>
  </si>
  <si>
    <t>978-0-7817-8307-1</t>
  </si>
  <si>
    <t>0-7817-8307-0</t>
  </si>
  <si>
    <t>Drug Facts Made Incredibly Quick!</t>
  </si>
  <si>
    <t>978-1-5825-5796-0</t>
  </si>
  <si>
    <t>1-5825-5796-9</t>
  </si>
  <si>
    <t>Drug Interactions in Psychiatry</t>
  </si>
  <si>
    <t>978-0-7817-4817-9</t>
  </si>
  <si>
    <t>0-7817-4817-8</t>
  </si>
  <si>
    <t>Drugs in Pregnancy &amp; Lactation</t>
  </si>
  <si>
    <t>978-0-7817-5651-8</t>
  </si>
  <si>
    <t>0-7817-5651-0</t>
  </si>
  <si>
    <t>Drugs in Pregnancy and Lactation: A Reference Guide to Fetal and Neonatal Risk</t>
  </si>
  <si>
    <t>978-0-7817-7876-3</t>
  </si>
  <si>
    <t>0-7817-7876-X</t>
  </si>
  <si>
    <t>Duane's Ophthalmology</t>
  </si>
  <si>
    <t>978-0-7817-6855-9</t>
  </si>
  <si>
    <t>0-7817-6855-1</t>
  </si>
  <si>
    <t>Dubois' Lupus Erythematosus</t>
  </si>
  <si>
    <t>978-0-7817-9394-0</t>
  </si>
  <si>
    <t>0-7817-9394-7</t>
  </si>
  <si>
    <t>Duplex Scanning in Vascular Disorders</t>
  </si>
  <si>
    <t>978-0-7817-2631-3</t>
  </si>
  <si>
    <t>0-7817-2631-X</t>
  </si>
  <si>
    <t>Dystonia 4: Advances in Neurology</t>
  </si>
  <si>
    <t>978-0-7817-4600-7</t>
  </si>
  <si>
    <t>0-7817-4600-0</t>
  </si>
  <si>
    <t>ECG Facts Made Incredibly Quick!</t>
  </si>
  <si>
    <t>978-1-5825-5672-7</t>
  </si>
  <si>
    <t>1-5825-5672-5</t>
  </si>
  <si>
    <t>ECG Interpretation Made Incredibly Easy!</t>
  </si>
  <si>
    <t>978-1-5825-5564-5</t>
  </si>
  <si>
    <t>1-5825-5564-8</t>
  </si>
  <si>
    <t>ECG Interpretation: A 2-in-1 Reference for Nurses</t>
  </si>
  <si>
    <t>978-1-5825-5395-5</t>
  </si>
  <si>
    <t>1-5825-5395-5</t>
  </si>
  <si>
    <t>ECG Interpretation: An Incredibly Easy! Pocket Guide</t>
  </si>
  <si>
    <t>978-1-5825-5432-7</t>
  </si>
  <si>
    <t>1-5825-5432-3</t>
  </si>
  <si>
    <t>ECG Interpretation: An Incredibly Easy! Workout</t>
  </si>
  <si>
    <t>978-0-7817-8308-8</t>
  </si>
  <si>
    <t>0-7817-8308-9</t>
  </si>
  <si>
    <t>ECG Strip Ease, An Arrhthymia Interpretation Workbook</t>
  </si>
  <si>
    <t>978-1-5825-5558-4</t>
  </si>
  <si>
    <t>1-5825-5558-3</t>
  </si>
  <si>
    <t>ECG Workout: Exercises in Arrhythmia Interpretation</t>
  </si>
  <si>
    <t>978-0-7817-8230-2</t>
  </si>
  <si>
    <t>0-7817-8230-9</t>
  </si>
  <si>
    <t>Echo Manual, The</t>
  </si>
  <si>
    <t>978-0-7817-4853-7</t>
  </si>
  <si>
    <t>0-7817-4853-4</t>
  </si>
  <si>
    <t>Lippincott WIlliams &amp; Wilkins - a Wolters Kluwer business (Copyright 2006 Mayo Foundation for Medical Education and Research)</t>
  </si>
  <si>
    <t>ElderCare Strategies, Expert Care Plans for the Older Adult</t>
  </si>
  <si>
    <t>978-1-5825-5184-5</t>
  </si>
  <si>
    <t>1-5825-5184-7</t>
  </si>
  <si>
    <t>Electroencephalography</t>
  </si>
  <si>
    <t>978-0-7817-5126-1</t>
  </si>
  <si>
    <t>0-7817-5126-8</t>
  </si>
  <si>
    <t>Electronic Fetal Monitoring: Concepts and Applications</t>
  </si>
  <si>
    <t>978-0-7817-7011-8</t>
  </si>
  <si>
    <t>0-7817-7011-4</t>
  </si>
  <si>
    <t>Emergency Nursing Made Incredibly Easy!</t>
  </si>
  <si>
    <t>978-1-5825-5464-8</t>
  </si>
  <si>
    <t>1-5825-5464-1</t>
  </si>
  <si>
    <t>Emergency Nursing: 5-Tier Triage Protocols</t>
  </si>
  <si>
    <t>978-1-5825-5371-9</t>
  </si>
  <si>
    <t>1-5825-5371-8</t>
  </si>
  <si>
    <t>Emergency Psychiatry: Principles and Practice</t>
  </si>
  <si>
    <t>978-0-7817-6873-3</t>
  </si>
  <si>
    <t>0-7817-6873-X</t>
  </si>
  <si>
    <t>End-of-Life Care: A Nurse's Guide to Compassionate Care</t>
  </si>
  <si>
    <t>978-1-5825-5660-4</t>
  </si>
  <si>
    <t>1-5825-5660-1</t>
  </si>
  <si>
    <t>Endoscopic Paranasal Sinus Surgery</t>
  </si>
  <si>
    <t>978-0-7817-4077-7</t>
  </si>
  <si>
    <t>0-7817-4077-0</t>
  </si>
  <si>
    <t>Enfermedad de Parkinson y Trastornos del Movimento</t>
  </si>
  <si>
    <t>978-8-4935-5837-6</t>
  </si>
  <si>
    <t>8-4935-5837-0</t>
  </si>
  <si>
    <t>English &amp; Spanish Medical Words &amp; Phrases</t>
  </si>
  <si>
    <t>978-1-5825-5673-4</t>
  </si>
  <si>
    <t>1-5825-5673-3</t>
  </si>
  <si>
    <t>Environmental and Occupational Medicine</t>
  </si>
  <si>
    <t>978-0-7817-6299-1</t>
  </si>
  <si>
    <t>0-7817-6299-5</t>
  </si>
  <si>
    <t>Epilepsy in Children</t>
  </si>
  <si>
    <t>978-0-7817-2698-6</t>
  </si>
  <si>
    <t>0-7817-2698-0</t>
  </si>
  <si>
    <t>ER Facts Made Incredibly Quick!</t>
  </si>
  <si>
    <t>978-1-5825-5591-1</t>
  </si>
  <si>
    <t>1-5825-5591-5</t>
  </si>
  <si>
    <t>Essential Emergency Procedures</t>
  </si>
  <si>
    <t>978-0-7817-7490-1</t>
  </si>
  <si>
    <t>0-7817-7490-X</t>
  </si>
  <si>
    <t>Essentials of Complementary &amp; Alternative Medicine</t>
  </si>
  <si>
    <t>978-0-6833-0674-3</t>
  </si>
  <si>
    <t>0-6833-0674-X</t>
  </si>
  <si>
    <t>Essentials of Hand Surgery</t>
  </si>
  <si>
    <t>978-0-7817-3585-8</t>
  </si>
  <si>
    <t>0-7817-3585-8</t>
  </si>
  <si>
    <t>Essentials of Otolaryngology</t>
  </si>
  <si>
    <t>978-0-7817-4707-3</t>
  </si>
  <si>
    <t>0-7817-4707-4</t>
  </si>
  <si>
    <t>Essentials of Skeletal Radiology</t>
  </si>
  <si>
    <t>978-0-7817-3946-7</t>
  </si>
  <si>
    <t>0-7817-3946-2</t>
  </si>
  <si>
    <t>Ethical Issues in Neurology</t>
  </si>
  <si>
    <t>978-0-7817-9060-4</t>
  </si>
  <si>
    <t>0-7817-9060-3</t>
  </si>
  <si>
    <t>Evidence-Based Endocrinology</t>
  </si>
  <si>
    <t>978-0-7817-7154-2</t>
  </si>
  <si>
    <t>0-7817-7154-4</t>
  </si>
  <si>
    <t>Evidence-Based Eye Care</t>
  </si>
  <si>
    <t>978-0-7817-6964-8</t>
  </si>
  <si>
    <t>0-7817-6964-7</t>
  </si>
  <si>
    <t>Failed Spine, The</t>
  </si>
  <si>
    <t>978-0-7817-9613-2</t>
  </si>
  <si>
    <t>0-7817-9613-X</t>
  </si>
  <si>
    <t>Family Focused Behavioral Pediatrics</t>
  </si>
  <si>
    <t>978-0-7817-2857-7</t>
  </si>
  <si>
    <t>0-7817-2857-6</t>
  </si>
  <si>
    <t>Family Medicine Certification Review</t>
  </si>
  <si>
    <t>978-1-4051-0505-7</t>
  </si>
  <si>
    <t>1-4051-0505-4</t>
  </si>
  <si>
    <t>Fast Facts for Nurses</t>
  </si>
  <si>
    <t>978-1-5825-5288-0</t>
  </si>
  <si>
    <t>1-5825-5288-6</t>
  </si>
  <si>
    <t>Feigenbaum's Echocardiography</t>
  </si>
  <si>
    <t>978-0-7817-3198-0</t>
  </si>
  <si>
    <t>0-7817-3198-4</t>
  </si>
  <si>
    <t>Fetal Heart Rate Monitoring</t>
  </si>
  <si>
    <t>978-0-7817-3524-7</t>
  </si>
  <si>
    <t>0-7817-3524-6</t>
  </si>
  <si>
    <t>Fibromyalgia and Other Central Pain Syndromes</t>
  </si>
  <si>
    <t>978-0-7817-5261-9</t>
  </si>
  <si>
    <t>0-7817-5261-2</t>
  </si>
  <si>
    <t>Field Guide to Bedside Diagnosis</t>
  </si>
  <si>
    <t>978-0-7817-8165-7</t>
  </si>
  <si>
    <t>0-7817-8165-5</t>
  </si>
  <si>
    <t>Field Guide to Clinical Dermatology</t>
  </si>
  <si>
    <t>978-0-7817-5627-3</t>
  </si>
  <si>
    <t>0-7817-5627-8</t>
  </si>
  <si>
    <t>Field Guide to Fracture Management</t>
  </si>
  <si>
    <t>978-0-7817-3536-0</t>
  </si>
  <si>
    <t>0-7817-3536-X</t>
  </si>
  <si>
    <t>Field Guide to Internal Medicine</t>
  </si>
  <si>
    <t>978-0-7817-2828-7</t>
  </si>
  <si>
    <t>0-7817-2828-2</t>
  </si>
  <si>
    <t>Field Guide to the Difficult Patient Interview</t>
  </si>
  <si>
    <t>978-0-7817-4774-5</t>
  </si>
  <si>
    <t>0-7817-4774-0</t>
  </si>
  <si>
    <t>Field Guide to the Neurologic Examination</t>
  </si>
  <si>
    <t>978-0-7817-4186-6</t>
  </si>
  <si>
    <t>0-7817-4186-6</t>
  </si>
  <si>
    <t>Field Guide to the Normal Newborn</t>
  </si>
  <si>
    <t>978-0-7817-2877-5</t>
  </si>
  <si>
    <t>0-7817-2877-0</t>
  </si>
  <si>
    <t>Field Guide to Urgent &amp; Ambulatory Care Procedures</t>
  </si>
  <si>
    <t>978-0-7817-2823-2</t>
  </si>
  <si>
    <t>0-7817-2823-1</t>
  </si>
  <si>
    <t>Fields Virology</t>
  </si>
  <si>
    <t>978-0-7817-6060-7</t>
  </si>
  <si>
    <t>0-7817-6060-7</t>
  </si>
  <si>
    <t>Fluid &amp; Electrolyte Balance: Nursing Considerations</t>
  </si>
  <si>
    <t>978-0-7817-2072-4</t>
  </si>
  <si>
    <t>0-7817-2072-9</t>
  </si>
  <si>
    <t>Fluids and Electrolytes Made Incredibly Easy!</t>
  </si>
  <si>
    <t>978-1-5825-5565-2</t>
  </si>
  <si>
    <t>1-5825-5565-6</t>
  </si>
  <si>
    <t>Fluids and Electrolytes: A 2-in-1 Reference for Nurses</t>
  </si>
  <si>
    <t>978-1-5825-5425-9</t>
  </si>
  <si>
    <t>1-5825-5425-0</t>
  </si>
  <si>
    <t>Fluids and Electrolytes: An Incredibly Easy! Pocket Guide</t>
  </si>
  <si>
    <t>978-1-5825-5433-4</t>
  </si>
  <si>
    <t>1-5825-5433-1</t>
  </si>
  <si>
    <t>Foot and Ankle</t>
  </si>
  <si>
    <t>978-0-7817-4437-9</t>
  </si>
  <si>
    <t>0-7817-4437-7</t>
  </si>
  <si>
    <t>Forensic Emergency Medicine</t>
  </si>
  <si>
    <t>978-0-7817-9274-5</t>
  </si>
  <si>
    <t>0-7817-9274-6</t>
  </si>
  <si>
    <t>Fractures of the Pelvis and Acetabulum</t>
  </si>
  <si>
    <t>978-0-7817-3213-0</t>
  </si>
  <si>
    <t>0-7817-3213-1</t>
  </si>
  <si>
    <t>Fundamental Immunology</t>
  </si>
  <si>
    <t>978-0-7817-3514-8</t>
  </si>
  <si>
    <t>0-7817-3514-9</t>
  </si>
  <si>
    <t>978-0-7817-6519-0</t>
  </si>
  <si>
    <t>0-7817-6519-6</t>
  </si>
  <si>
    <t>Fundamentals of Diagnostic Radiology</t>
  </si>
  <si>
    <t>978-0-7817-6135-2</t>
  </si>
  <si>
    <t>0-7817-6135-2</t>
  </si>
  <si>
    <t>Fundamentals of Nursing Made Incredibly Easy!</t>
  </si>
  <si>
    <t>978-1-5825-5930-8</t>
  </si>
  <si>
    <t>1-5825-5930-9</t>
  </si>
  <si>
    <t>Fundamentals of Pediatric Cardiology</t>
  </si>
  <si>
    <t>978-0-7817-8500-6</t>
  </si>
  <si>
    <t>0-7817-8500-6</t>
  </si>
  <si>
    <t>Fundamentals of Pediatric Orthopedics</t>
  </si>
  <si>
    <t>978-0-7817-7497-0</t>
  </si>
  <si>
    <t>0-7817-7497-7</t>
  </si>
  <si>
    <t>Fundamentals of Sleep Technology</t>
  </si>
  <si>
    <t>978-0-7817-9287-5</t>
  </si>
  <si>
    <t>0-7817-9287-8</t>
  </si>
  <si>
    <t>Gastrointestinal Oncology: Principles &amp; Practice</t>
  </si>
  <si>
    <t>978-0-7817-2230-8</t>
  </si>
  <si>
    <t>0-7817-2230-6</t>
  </si>
  <si>
    <t>General Thoracic Surgery</t>
  </si>
  <si>
    <t>978-0-7817-3889-7</t>
  </si>
  <si>
    <t>0-7817-3889-X</t>
  </si>
  <si>
    <t>Genital Dermatology Atlas</t>
  </si>
  <si>
    <t>978-0-7817-5307-4</t>
  </si>
  <si>
    <t>0-7817-5307-4</t>
  </si>
  <si>
    <t>Genodermatoses: A Clinical Guide to Genetic Skin Disorders</t>
  </si>
  <si>
    <t>978-0-7817-4088-3</t>
  </si>
  <si>
    <t>0-7817-4088-6</t>
  </si>
  <si>
    <t>Glass' Office Gynecology</t>
  </si>
  <si>
    <t>978-0-7817-4250-4</t>
  </si>
  <si>
    <t>0-7817-4250-1</t>
  </si>
  <si>
    <t>Gleason Grading of Prostate Cancer: A Contemporary Approach</t>
  </si>
  <si>
    <t>978-0-7817-4279-5</t>
  </si>
  <si>
    <t>0-7817-4279-X</t>
  </si>
  <si>
    <t>Glenn's Urologic Surgery</t>
  </si>
  <si>
    <t>978-0-7817-4082-1</t>
  </si>
  <si>
    <t>0-7817-4082-7</t>
  </si>
  <si>
    <t>Goodheart's Photoguide to Common Skin Disorders: Diagnosis and Management</t>
  </si>
  <si>
    <t>978-0-7817-7143-6</t>
  </si>
  <si>
    <t>0-7817-7143-9</t>
  </si>
  <si>
    <t>Grabb and Smith's Plastic Surgery</t>
  </si>
  <si>
    <t>978-0-7817-4698-4</t>
  </si>
  <si>
    <t>0-7817-4698-1</t>
  </si>
  <si>
    <t>Greenberg's Text-Atlas of Emergency Medicine</t>
  </si>
  <si>
    <t>978-0-7817-4586-4</t>
  </si>
  <si>
    <t>0-7817-4586-1</t>
  </si>
  <si>
    <t>Greenfield's Surgery: Scientific Principles and Practice</t>
  </si>
  <si>
    <t>978-0-7817-5624-2</t>
  </si>
  <si>
    <t>0-7817-5624-3</t>
  </si>
  <si>
    <t>Grossman's Cardiac Catheterization, Angiography, &amp; Intervention</t>
  </si>
  <si>
    <t>978-0-7817-5567-2</t>
  </si>
  <si>
    <t>0-7817-5567-0</t>
  </si>
  <si>
    <t>Guide to Clinical Preventive Services 2006, The: Recommendations of the U.S. Preventive Services Task Force</t>
  </si>
  <si>
    <t>978-0-7817-6399-8</t>
  </si>
  <si>
    <t>0-7817-6399-1</t>
  </si>
  <si>
    <t>Guide to Drug Development: A Comprehensive Review and Assessment</t>
  </si>
  <si>
    <t>978-0-7817-7424-6</t>
  </si>
  <si>
    <t>0-7817-7424-1</t>
  </si>
  <si>
    <t>Guide to Neuropsychiatric Therapeutics</t>
  </si>
  <si>
    <t>978-0-7817-9935-5</t>
  </si>
  <si>
    <t>0-7817-9935-X</t>
  </si>
  <si>
    <t>Hand and Wrist</t>
  </si>
  <si>
    <t>978-0-7817-5146-9</t>
  </si>
  <si>
    <t>0-7817-5146-2</t>
  </si>
  <si>
    <t>Hand Surgery</t>
  </si>
  <si>
    <t>978-0-7817-2874-4</t>
  </si>
  <si>
    <t>0-7817-2874-6</t>
  </si>
  <si>
    <t>Handbook of Adolescent Health Care: A Practical Guide</t>
  </si>
  <si>
    <t>978-0-7817-9020-8</t>
  </si>
  <si>
    <t>0-7817-9020-4</t>
  </si>
  <si>
    <t>Handbook of Cancer Chemotherapy</t>
  </si>
  <si>
    <t>978-0-7817-6531-2</t>
  </si>
  <si>
    <t>0-7817-6531-5</t>
  </si>
  <si>
    <t>Handbook of Cognitive Hypnotherapy for Depression: An Evidence-Based Approach</t>
  </si>
  <si>
    <t>978-0-7817-6604-3</t>
  </si>
  <si>
    <t>0-7817-6604-4</t>
  </si>
  <si>
    <t>Handbook of Critical Care Drug Therapy</t>
  </si>
  <si>
    <t>978-0-7817-9763-4</t>
  </si>
  <si>
    <t>0-7817-9763-2</t>
  </si>
  <si>
    <t>Handbook of Diagnostic Tests</t>
  </si>
  <si>
    <t>978-1-5825-5203-3</t>
  </si>
  <si>
    <t>1-5825-5203-7</t>
  </si>
  <si>
    <t>Handbook of Dialysis</t>
  </si>
  <si>
    <t>978-0-7817-5253-4</t>
  </si>
  <si>
    <t>0-7817-5253-1</t>
  </si>
  <si>
    <t>Handbook of Diseases</t>
  </si>
  <si>
    <t>978-1-5825-5266-8</t>
  </si>
  <si>
    <t>1-5825-5266-5</t>
  </si>
  <si>
    <t>Handbook of Epilepsy</t>
  </si>
  <si>
    <t>978-0-7817-7397-3</t>
  </si>
  <si>
    <t>0-7817-7397-0</t>
  </si>
  <si>
    <t>Handbook of Fractures</t>
  </si>
  <si>
    <t>978-0-7817-9009-3</t>
  </si>
  <si>
    <t>0-7817-9009-3</t>
  </si>
  <si>
    <t>Handbook of Gastroenterologic Procedures</t>
  </si>
  <si>
    <t>978-0-7817-5008-0</t>
  </si>
  <si>
    <t>0-7817-5008-3</t>
  </si>
  <si>
    <t>Handbook of Gastroenterology</t>
  </si>
  <si>
    <t>978-0-7817-5460-6</t>
  </si>
  <si>
    <t>0-7817-5460-7</t>
  </si>
  <si>
    <t>Handbook of Geriatric Nursing Care</t>
  </si>
  <si>
    <t>978-1-5825-5143-2</t>
  </si>
  <si>
    <t>1-5825-5143-X</t>
  </si>
  <si>
    <t>Handbook of Headache</t>
  </si>
  <si>
    <t>978-0-7817-5223-7</t>
  </si>
  <si>
    <t>0-7817-5223-X</t>
  </si>
  <si>
    <t>Handbook of Kidney Transplantation</t>
  </si>
  <si>
    <t>978-0-7817-5322-7</t>
  </si>
  <si>
    <t>0-7817-5322-8</t>
  </si>
  <si>
    <t>Handbook of Medical-Surgical Nursing</t>
  </si>
  <si>
    <t>978-1-5825-5445-7</t>
  </si>
  <si>
    <t>1-5825-5445-5</t>
  </si>
  <si>
    <t>Handbook of Neuroanesthesia</t>
  </si>
  <si>
    <t>978-0-7817-6245-8</t>
  </si>
  <si>
    <t>0-7817-6245-6</t>
  </si>
  <si>
    <t>Handbook of Nutrition and the Kidney</t>
  </si>
  <si>
    <t>978-0-7817-6031-7</t>
  </si>
  <si>
    <t>0-7817-6031-3</t>
  </si>
  <si>
    <t>Handbook of Obstetric and Gynecologic Emergencies</t>
  </si>
  <si>
    <t>978-0-7817-6236-6</t>
  </si>
  <si>
    <t>0-7817-6236-7</t>
  </si>
  <si>
    <t>Handbook of Pathophysiology</t>
  </si>
  <si>
    <t>978-0-7817-6311-0</t>
  </si>
  <si>
    <t>0-7817-6311-8</t>
  </si>
  <si>
    <t>978-1-5825-5302-3</t>
  </si>
  <si>
    <t>1-5825-5302-5</t>
  </si>
  <si>
    <t>Handbook of Pediatric Urology</t>
  </si>
  <si>
    <t>978-0-7817-5162-9</t>
  </si>
  <si>
    <t>0-7817-5162-4</t>
  </si>
  <si>
    <t>Handbook of Pharmacology and Physiology in Anesthetic Practice</t>
  </si>
  <si>
    <t>978-0-7817-5785-0</t>
  </si>
  <si>
    <t>0-7817-5785-1</t>
  </si>
  <si>
    <t>Handbook of Physical Medicine and Rehabilitation Basics: The Basics</t>
  </si>
  <si>
    <t>978-0-7817-4434-8</t>
  </si>
  <si>
    <t>0-7817-4434-2</t>
  </si>
  <si>
    <t>Handbook of Psychiatric Drug Therapy</t>
  </si>
  <si>
    <t>978-0-7817-5188-9</t>
  </si>
  <si>
    <t>0-7817-5188-8</t>
  </si>
  <si>
    <t>Handbook of Signs &amp; Symptoms</t>
  </si>
  <si>
    <t>978-1-5825-5402-0</t>
  </si>
  <si>
    <t>1-5825-5402-1</t>
  </si>
  <si>
    <t>Handbook of Sleep Medicine</t>
  </si>
  <si>
    <t>978-0-7817-6238-3</t>
  </si>
  <si>
    <t>0-7817-6238-3</t>
  </si>
  <si>
    <t>Handbook of Stroke</t>
  </si>
  <si>
    <t>978-0-7817-8658-4</t>
  </si>
  <si>
    <t>0-7817-8658-4</t>
  </si>
  <si>
    <t>Handbook of Urology: Diagnosis &amp; Therapy</t>
  </si>
  <si>
    <t>978-0-7817-4221-4</t>
  </si>
  <si>
    <t>0-7817-4221-8</t>
  </si>
  <si>
    <t>Harley's Pediatric Ophthalmology</t>
  </si>
  <si>
    <t>978-0-7817-5083-7</t>
  </si>
  <si>
    <t>0-7817-5083-0</t>
  </si>
  <si>
    <t>Harwood-Nuss' Clinical Practice of Emergency Medicine</t>
  </si>
  <si>
    <t>978-0-7817-5125-4</t>
  </si>
  <si>
    <t>0-7817-5125-X</t>
  </si>
  <si>
    <t>Head &amp; Neck Surgery - Otolaryngology</t>
  </si>
  <si>
    <t>978-0-7817-5561-0</t>
  </si>
  <si>
    <t>0-7817-5561-1</t>
  </si>
  <si>
    <t>Head and Neck Cancer: A Multidisciplinary Approach</t>
  </si>
  <si>
    <t>978-0-7817-3369-4</t>
  </si>
  <si>
    <t>0-7817-3369-3</t>
  </si>
  <si>
    <t>978-0-7817-7136-8</t>
  </si>
  <si>
    <t>0-7817-7136-6</t>
  </si>
  <si>
    <t>Head and Neck Surgical Pathology</t>
  </si>
  <si>
    <t>978-0-3975-1727-5</t>
  </si>
  <si>
    <t>0-3975-1727-0</t>
  </si>
  <si>
    <t>Headaches, The</t>
  </si>
  <si>
    <t>978-0-7817-5400-2</t>
  </si>
  <si>
    <t>0-7817-5400-3</t>
  </si>
  <si>
    <t>Health Assessment Made Incredibly Visual!</t>
  </si>
  <si>
    <t>978-1-5285-5985-8</t>
  </si>
  <si>
    <t>1-5285-5985-1</t>
  </si>
  <si>
    <t>Heart Sounds Made Incredibly Easy!</t>
  </si>
  <si>
    <t>978-1-5825-5358-0</t>
  </si>
  <si>
    <t>1-5825-5358-0</t>
  </si>
  <si>
    <t>Hemodynamic Monitoring Made Incredibly Visual!</t>
  </si>
  <si>
    <t>978-1-5825-5503-4</t>
  </si>
  <si>
    <t>1-5825-5503-6</t>
  </si>
  <si>
    <t>Hemostasis and Thrombosis: Basic Principles and Clinical Practice</t>
  </si>
  <si>
    <t>978-0-7817-4996-1</t>
  </si>
  <si>
    <t>0-7817-4996-4</t>
  </si>
  <si>
    <t>Henderson's Orbital Tumors</t>
  </si>
  <si>
    <t>978-0-7817-3869-9</t>
  </si>
  <si>
    <t>0-7817-3869-5</t>
  </si>
  <si>
    <t>Lippincott Williams &amp; Wilkins - a Wolters Kluwer business (Copyright 2007 by Mayo Foundation for Medical Education and Research)</t>
  </si>
  <si>
    <t>Heptinstall's Pathology of the Kidney</t>
  </si>
  <si>
    <t>978-0-7817-4750-9</t>
  </si>
  <si>
    <t>0-7817-4750-3</t>
  </si>
  <si>
    <t>High-Dose Cancer Therapy: Pharmacology, Hematopoietins, Stem Cells</t>
  </si>
  <si>
    <t>978-0-6833-0654-5</t>
  </si>
  <si>
    <t>0-6833-0654-5</t>
  </si>
  <si>
    <t>High-Resolution CT of the Lung</t>
  </si>
  <si>
    <t>978-0-7817-2278-0</t>
  </si>
  <si>
    <t>0-7817-2278-0</t>
  </si>
  <si>
    <t>Histology for Pathologists</t>
  </si>
  <si>
    <t>978-0-7817-6241-0</t>
  </si>
  <si>
    <t>0-7817-6241-3</t>
  </si>
  <si>
    <t>Hodgkin Lymphoma</t>
  </si>
  <si>
    <t>978-0-7817-6422-3</t>
  </si>
  <si>
    <t>0-7817-6422-X</t>
  </si>
  <si>
    <t>Hospital Epidemiology and Infection Control</t>
  </si>
  <si>
    <t>978-0-7817-4258-0</t>
  </si>
  <si>
    <t>0-7817-4258-7</t>
  </si>
  <si>
    <t>Hospital for Sick Children Manual of Pediatric Trauma, The</t>
  </si>
  <si>
    <t>978-0-7817-7816-9</t>
  </si>
  <si>
    <t>0-7817-7816-6</t>
  </si>
  <si>
    <t>Hospital for Sick Children's, The: Atlas of Pediatric Ophthalmology &amp; Strabismus</t>
  </si>
  <si>
    <t>978-0-7817-4309-9</t>
  </si>
  <si>
    <t>0-7817-4309-5</t>
  </si>
  <si>
    <t>Hospital for Special Surgery Manual of Rheumatology and Outpatient Orthopedic Disorders: Diagnosis and Therapy</t>
  </si>
  <si>
    <t>978-0-7817-6300-4</t>
  </si>
  <si>
    <t>0-7817-6300-2</t>
  </si>
  <si>
    <t>Hospital Medicine</t>
  </si>
  <si>
    <t>978-0-7817-4727-1</t>
  </si>
  <si>
    <t>0-7817-4727-9</t>
  </si>
  <si>
    <t>Human Heart, The: A Basic Guide to Heart Disease</t>
  </si>
  <si>
    <t>978-0-7817-6777-4</t>
  </si>
  <si>
    <t>0-7817-6777-6</t>
  </si>
  <si>
    <t>Human Walking</t>
  </si>
  <si>
    <t>978-0-7817-5954-0</t>
  </si>
  <si>
    <t>0-7817-5954-4</t>
  </si>
  <si>
    <t>Hypertension Primer: The Essentials of High Blood Pressure</t>
  </si>
  <si>
    <t>978-0-7817-4509-3</t>
  </si>
  <si>
    <t>0-7817-4509-8</t>
  </si>
  <si>
    <t>American Heart Association (Format, Design and Index is copyrighted by Lippincott Williams &amp; Wilkins)</t>
  </si>
  <si>
    <t>Hypertension Primer: The Essentials of High Blood Pressure: Basic Science, Population Science, and Clinical Management</t>
  </si>
  <si>
    <t>978-0-7817-8205-0</t>
  </si>
  <si>
    <t>0-7817-8205-8</t>
  </si>
  <si>
    <t>Hypomania Handbook ,The: The Challenge of Elevated Mood</t>
  </si>
  <si>
    <t>978-0-7817-7520-5</t>
  </si>
  <si>
    <t>0-7817-7520-5</t>
  </si>
  <si>
    <t>Hysteroscopy: Visual Perspectives of Uterine Anatomy, Physiology &amp; Pathology</t>
  </si>
  <si>
    <t>978-0-7817-5532-0</t>
  </si>
  <si>
    <t>0-7817-5532-8</t>
  </si>
  <si>
    <t>I.V. Therapy Made Incredibly Easy!</t>
  </si>
  <si>
    <t>978-1-5825-5400-6</t>
  </si>
  <si>
    <t>1-5825-5400-5</t>
  </si>
  <si>
    <t>I.V. Therapy: An Incredibly Easy! Pocket Guide</t>
  </si>
  <si>
    <t>978-1-5825-5435-8</t>
  </si>
  <si>
    <t>1-5825-5435-8</t>
  </si>
  <si>
    <t>ICU Book, The</t>
  </si>
  <si>
    <t>978-0-7817-4802-5</t>
  </si>
  <si>
    <t>0-7817-4802-X</t>
  </si>
  <si>
    <t>ICU/CCU Facts Made Incredibly Quick!</t>
  </si>
  <si>
    <t>978-1-5825-5541-6</t>
  </si>
  <si>
    <t>1-5825-5541-9</t>
  </si>
  <si>
    <t>Imaging of Orthopedic Fixation Devices and Prostheses</t>
  </si>
  <si>
    <t>978-0-7817-9252-3</t>
  </si>
  <si>
    <t>0-7817-9252-5</t>
  </si>
  <si>
    <t>Imaging of Pulmonary Infections</t>
  </si>
  <si>
    <t>978-0-7817-7232-7</t>
  </si>
  <si>
    <t>0-7817-7232-X</t>
  </si>
  <si>
    <t>Imaging of Soft Tissue Tumors</t>
  </si>
  <si>
    <t>978-0-7817-4771-4</t>
  </si>
  <si>
    <t>0-7817-4771-6</t>
  </si>
  <si>
    <t>Imaging of the Airways: Functional and Radiologic Correlations</t>
  </si>
  <si>
    <t>978-0-7817-5768-3</t>
  </si>
  <si>
    <t>0-7817-5768-1</t>
  </si>
  <si>
    <t>Imaging of the Newborn, Infant, and Young Child</t>
  </si>
  <si>
    <t>978-0-7817-3458-5</t>
  </si>
  <si>
    <t>0-7817-3458-4</t>
  </si>
  <si>
    <t>Improving Medication Adherence: How to Talk with Patients About Their Medications</t>
  </si>
  <si>
    <t>978-0-7817-9622-4</t>
  </si>
  <si>
    <t>0-7817-9622-9</t>
  </si>
  <si>
    <t>Infections of the Central Nervous System</t>
  </si>
  <si>
    <t>978-0-7817-4327-3</t>
  </si>
  <si>
    <t>0-7817-4327-3</t>
  </si>
  <si>
    <t>Infectious Diseases</t>
  </si>
  <si>
    <t>978-0-7817-3371-7</t>
  </si>
  <si>
    <t>0-7817-3371-5</t>
  </si>
  <si>
    <t>Infectious Diseases of the Female Genital Tract</t>
  </si>
  <si>
    <t>978-0-7817-2615-3</t>
  </si>
  <si>
    <t>0-7817-2615-8</t>
  </si>
  <si>
    <t>Insights on Death &amp; Dying</t>
  </si>
  <si>
    <t>978-1-5825-5973-5</t>
  </si>
  <si>
    <t>1-5825-5973-2</t>
  </si>
  <si>
    <t>Interactive Electrocardiography</t>
  </si>
  <si>
    <t>978-0-7817-7863-3</t>
  </si>
  <si>
    <t>0-7817-7863-8</t>
  </si>
  <si>
    <t>Internal Medicine Casebook, The: Real Patients, Real Answers</t>
  </si>
  <si>
    <t>978-0-7817-6529-9</t>
  </si>
  <si>
    <t>0-7817-6529-3</t>
  </si>
  <si>
    <t>Interpretation of Diagnostic Tests</t>
  </si>
  <si>
    <t>978-0-7817-3055-6</t>
  </si>
  <si>
    <t>0-7817-3055-4</t>
  </si>
  <si>
    <t>978-0-7817-1659-8</t>
  </si>
  <si>
    <t>0-7817-1659-4</t>
  </si>
  <si>
    <t>Interpretation of Pulmonary Function Tests: A Practical Guide</t>
  </si>
  <si>
    <t>978-0-7817-3682-4</t>
  </si>
  <si>
    <t>0-7817-3682-X</t>
  </si>
  <si>
    <t>2003, 1997, by Mayo Foundation for Medical Education and Research.</t>
  </si>
  <si>
    <t>Interpreting Difficult ECGs: A Rapid Reference</t>
  </si>
  <si>
    <t>978-1-5825-5447-1</t>
  </si>
  <si>
    <t>1-5825-5447-1</t>
  </si>
  <si>
    <t>Intrapartum Management Modules: A Perinatal Education Program</t>
  </si>
  <si>
    <t>978-0-7817-8168-8</t>
  </si>
  <si>
    <t>0-7817-8168-X</t>
  </si>
  <si>
    <t>Introductory Guide to Cardiac Catheterization</t>
  </si>
  <si>
    <t>978-0-7817-5202-2</t>
  </si>
  <si>
    <t>0-7817-5202-7</t>
  </si>
  <si>
    <t>IOACHIM'S Lymph Node Pathology</t>
  </si>
  <si>
    <t>978-0-7817-7596-0</t>
  </si>
  <si>
    <t>0-7817-7596-5</t>
  </si>
  <si>
    <t>Irwin &amp; Rippe's Intensive Care Medicine</t>
  </si>
  <si>
    <t>978-0-7817-3548-3</t>
  </si>
  <si>
    <t>0-7817-3548-3</t>
  </si>
  <si>
    <t>Irwin and Rippe's Intensive Care Medicine</t>
  </si>
  <si>
    <t>978-0-7817-9153-3</t>
  </si>
  <si>
    <t>0-7817-9153-7</t>
  </si>
  <si>
    <t>Lippincott Williams &amp; Wilkins (Copyright 2008 by Richard S. Irwin, M.D. and James M. Rippe, M.D.)</t>
  </si>
  <si>
    <t>Ischemic Stroke</t>
  </si>
  <si>
    <t>978-0-7817-3652-7</t>
  </si>
  <si>
    <t>0-7817-3652-8</t>
  </si>
  <si>
    <t>Johns Hopkins Absite Review Manual, The</t>
  </si>
  <si>
    <t>978-0-7817-9178-6</t>
  </si>
  <si>
    <t>0-7817-9178-2</t>
  </si>
  <si>
    <t>Johns Hopkins Hospital 2005-6 Guide to Medical Care of Patients with HIV Infection, The</t>
  </si>
  <si>
    <t>978-0-7817-8911-0</t>
  </si>
  <si>
    <t>0-7817-8911-7</t>
  </si>
  <si>
    <t>Johns Hopkins Manual of Gynecology and Obstetrics, The</t>
  </si>
  <si>
    <t>978-0-7817-6249-6</t>
  </si>
  <si>
    <t>0-7817-6249-9</t>
  </si>
  <si>
    <t>978-1-4511-8880-6</t>
  </si>
  <si>
    <t>1-4511-8880-3</t>
  </si>
  <si>
    <t>Johnson's Practical Electromyography</t>
  </si>
  <si>
    <t>978-0-7817-5285-5</t>
  </si>
  <si>
    <t>0-7817-5285-X</t>
  </si>
  <si>
    <t>Joslin's Diabetes Mellitus</t>
  </si>
  <si>
    <t>978-0-7817-2796-9</t>
  </si>
  <si>
    <t>0-7817-2796-0</t>
  </si>
  <si>
    <t>Just the Facts: ECG Interpretation</t>
  </si>
  <si>
    <t>978-1-5825-5341-2</t>
  </si>
  <si>
    <t>1-5825-5341-6</t>
  </si>
  <si>
    <t>Just the Facts: Fluids and Electrolytes</t>
  </si>
  <si>
    <t>978-1-5825-5340-5</t>
  </si>
  <si>
    <t>1-5825-5340-8</t>
  </si>
  <si>
    <t>Just the Facts: IV Therapy</t>
  </si>
  <si>
    <t>978-1-5825-5339-9</t>
  </si>
  <si>
    <t>1-5825-5339-4</t>
  </si>
  <si>
    <t>Just the Facts: Pathophysiology</t>
  </si>
  <si>
    <t>978-1-5825-5338-2</t>
  </si>
  <si>
    <t>1-5825-5338-6</t>
  </si>
  <si>
    <t>Kaplan &amp; Sadock's Pocket Handbook of Clinical Psychiatry</t>
  </si>
  <si>
    <t>978-0-7817-6216-8</t>
  </si>
  <si>
    <t>0-7817-6216-2</t>
  </si>
  <si>
    <t>Kaplan &amp; Sadock's Study Guide and Self Examination Review in Psychiatry</t>
  </si>
  <si>
    <t>978-0-7817-8043-8</t>
  </si>
  <si>
    <t>0-7817-8043-8</t>
  </si>
  <si>
    <t>Kaplan and Sadock's Pocket Handbook of Psychiatric Drug Treatment</t>
  </si>
  <si>
    <t>978-0-7817-6215-1</t>
  </si>
  <si>
    <t>0-7817-6215-4</t>
  </si>
  <si>
    <t>Kaplan's Clinical Hypertension</t>
  </si>
  <si>
    <t>978-0-7817-6198-7</t>
  </si>
  <si>
    <t>0-7817-6198-0</t>
  </si>
  <si>
    <t>9th_Edition</t>
  </si>
  <si>
    <t>Koss' Diagnostic Cytology and Its Histopathologic Bases</t>
  </si>
  <si>
    <t>978-0-7817-1928-5</t>
  </si>
  <si>
    <t>0-7817-1928-3</t>
  </si>
  <si>
    <t>Landmarks for Peripheral Nerve Blocks: Upper and Lower Extremities</t>
  </si>
  <si>
    <t>978-0-7817-8752-9</t>
  </si>
  <si>
    <t>0-7817-8752-1</t>
  </si>
  <si>
    <t>LASIK Handbook, The: A Case-Based Approach</t>
  </si>
  <si>
    <t>978-0-7817-6208-3</t>
  </si>
  <si>
    <t>0-7817-6208-1</t>
  </si>
  <si>
    <t>LEVER'S Histopathology of the Skin</t>
  </si>
  <si>
    <t>978-0-7817-7363-8</t>
  </si>
  <si>
    <t>0-7817-7363-6</t>
  </si>
  <si>
    <t>Lever's Histopathology of the Skin</t>
  </si>
  <si>
    <t>978-0-7817-3742-5</t>
  </si>
  <si>
    <t>0-7817-3742-7</t>
  </si>
  <si>
    <t>Lippincott Manual of Nursing Practice</t>
  </si>
  <si>
    <t>978-1-5825-5342-9</t>
  </si>
  <si>
    <t>1-5825-5342-4</t>
  </si>
  <si>
    <t>Lippincott Manual of Nursing Practice Handbook</t>
  </si>
  <si>
    <t>978-1-5825-5631-4</t>
  </si>
  <si>
    <t>1-5825-5631-8</t>
  </si>
  <si>
    <t>Lippincott Manual of Nursing Practice Pocket Guide: Critical Care Nursing</t>
  </si>
  <si>
    <t>978-1-5825-5587-4</t>
  </si>
  <si>
    <t>1-5825-5587-7</t>
  </si>
  <si>
    <t>Lippincott Manual of Nursing Practice Pocket Guide: Maternal-Neonatal Nursing</t>
  </si>
  <si>
    <t>978-1-5825-5907-0</t>
  </si>
  <si>
    <t>1-5825-5907-4</t>
  </si>
  <si>
    <t>Lippincott Manual of Nursing Practice Pocket Guide: Medical-Surgical Nursing</t>
  </si>
  <si>
    <t>978-1-5825-5897-4</t>
  </si>
  <si>
    <t>1-5825-5897-3</t>
  </si>
  <si>
    <t>Lippincott Manual of Nursing Practice Pocket Guide: Pediatric Nursing</t>
  </si>
  <si>
    <t>978-1-5825-5585-0</t>
  </si>
  <si>
    <t>1-5825-5585-0</t>
  </si>
  <si>
    <t>Lippincott Manual of Nursing Practice Series: Alarming Signs and Symptoms</t>
  </si>
  <si>
    <t>978-1-5825-5624-6</t>
  </si>
  <si>
    <t>1-5825-5624-5</t>
  </si>
  <si>
    <t>Lippincott Manual of Nursing Practice Series: Assessment</t>
  </si>
  <si>
    <t>978-1-5825-5939-1</t>
  </si>
  <si>
    <t>1-5825-5939-2</t>
  </si>
  <si>
    <t>Lippincott Manual of Nursing Practice Series: Diagnostic Tests</t>
  </si>
  <si>
    <t>978-1-5825-5903-2</t>
  </si>
  <si>
    <t>1-5825-5903-1</t>
  </si>
  <si>
    <t>Lippincott Manual of Nursing Practice Series: Documentation</t>
  </si>
  <si>
    <t>978-1-5825-5699-4</t>
  </si>
  <si>
    <t>1-5825-5699-7</t>
  </si>
  <si>
    <t>Lippincott Manual of Nursing Practice Series: ECG Interpretation</t>
  </si>
  <si>
    <t>978-0-7817-7741-4</t>
  </si>
  <si>
    <t>0-7817-7741-0</t>
  </si>
  <si>
    <t>Lippincott Manual of Nursing Practice Series: Pathophysiology</t>
  </si>
  <si>
    <t>978-1-5825-5663-5</t>
  </si>
  <si>
    <t>1-5825-5663-6</t>
  </si>
  <si>
    <t>Lippincott Professional Guides, Anatomy &amp; Physiology</t>
  </si>
  <si>
    <t>978-1-5825-5180-7</t>
  </si>
  <si>
    <t>1-5825-5180-4</t>
  </si>
  <si>
    <t>Lippincott's Cancer Chemotherapy Handbook</t>
  </si>
  <si>
    <t>978-0-7817-2646-7</t>
  </si>
  <si>
    <t>0-7817-2646-8</t>
  </si>
  <si>
    <t>Lippincott's Manual of Psychiatric Nursing Care Plans</t>
  </si>
  <si>
    <t>978-0-7817-4788-2</t>
  </si>
  <si>
    <t>0-7817-4788-0</t>
  </si>
  <si>
    <t>Lippincott's Nursing Drug Guide</t>
  </si>
  <si>
    <t>978-1-5825-5629-1</t>
  </si>
  <si>
    <t>1-5825-5629-6</t>
  </si>
  <si>
    <t>978-1-5825-5661-1</t>
  </si>
  <si>
    <t>1-5825-5661-X</t>
  </si>
  <si>
    <t>2008_Edition</t>
  </si>
  <si>
    <t>978-0-7817-9288-2</t>
  </si>
  <si>
    <t>0-7817-9288-6</t>
  </si>
  <si>
    <t>2009_Edition</t>
  </si>
  <si>
    <t>Lippincott's Nursing Procedures</t>
  </si>
  <si>
    <t>978-0-7817-8689-8</t>
  </si>
  <si>
    <t>0-7817-8689-4</t>
  </si>
  <si>
    <t>Lippincott's Primary Care: Orthopaedics</t>
  </si>
  <si>
    <t>978-0-7817-7182-5</t>
  </si>
  <si>
    <t>0-7817-7182-X</t>
  </si>
  <si>
    <t>Lippincott's Q&amp;A Certification Review: Emergency Nursing</t>
  </si>
  <si>
    <t>978-1-5825-5343-6</t>
  </si>
  <si>
    <t>1-5825-5343-2</t>
  </si>
  <si>
    <t>Lippincott's Review Series: Maternal-Newborn Nursing</t>
  </si>
  <si>
    <t>978-1-5825-5359-7</t>
  </si>
  <si>
    <t>1-5825-5359-9</t>
  </si>
  <si>
    <t>Localization in Clinical Neurology</t>
  </si>
  <si>
    <t>978-0-7817-9952-2</t>
  </si>
  <si>
    <t>0-7817-9952-X</t>
  </si>
  <si>
    <t>Lovell &amp; Winter's Pediatric Orthopaedics</t>
  </si>
  <si>
    <t>978-0-7817-5358-6</t>
  </si>
  <si>
    <t>0-7817-5358-9</t>
  </si>
  <si>
    <t>Low Back Disorders: A Medical Enigma</t>
  </si>
  <si>
    <t>978-0-7817-4448-5</t>
  </si>
  <si>
    <t>0-7817-4448-2</t>
  </si>
  <si>
    <t>LPN Expert Guides: Advanced Skills</t>
  </si>
  <si>
    <t>978-1-5825-5831-8</t>
  </si>
  <si>
    <t>1-5825-5831-0</t>
  </si>
  <si>
    <t>LPN Expert Guides: ECG Interpretation</t>
  </si>
  <si>
    <t>978-1-5825-5701-4</t>
  </si>
  <si>
    <t>1-5825-5701-2</t>
  </si>
  <si>
    <t>LPN Expert Guides: Fluids and Electrolytes</t>
  </si>
  <si>
    <t>978-1-5825-5923-0</t>
  </si>
  <si>
    <t>1-5825-5923-6</t>
  </si>
  <si>
    <t>LPN Expert Guides: I.V. Therapy</t>
  </si>
  <si>
    <t>978-1-5825-5868-4</t>
  </si>
  <si>
    <t>1-5825-5868-X</t>
  </si>
  <si>
    <t>LPN Expert Guides: Pathophysiology</t>
  </si>
  <si>
    <t>978-1-5825-5895-0</t>
  </si>
  <si>
    <t>1-5825-5895-7</t>
  </si>
  <si>
    <t>LPN Expert Guides: Wound Care</t>
  </si>
  <si>
    <t>978-1-5825-5702-1</t>
  </si>
  <si>
    <t>1-5825-5702-0</t>
  </si>
  <si>
    <t>LPN Facts Made Incredibly Quick!</t>
  </si>
  <si>
    <t>978-1-5825-5705-2</t>
  </si>
  <si>
    <t>1-5825-5705-5</t>
  </si>
  <si>
    <t>Lumbar Spine, The: Official Publication of the International Society for the Study of the Lumbar Spine</t>
  </si>
  <si>
    <t>978-0-7817-4297-9</t>
  </si>
  <si>
    <t>0-7817-4297-8</t>
  </si>
  <si>
    <t>Lung Cancer: Principles &amp; Practice</t>
  </si>
  <si>
    <t>978-0-7817-4620-5</t>
  </si>
  <si>
    <t>0-7817-4620-5</t>
  </si>
  <si>
    <t>Macnab's Backache</t>
  </si>
  <si>
    <t>978-0-7817-6085-0</t>
  </si>
  <si>
    <t>0-7817-6085-2</t>
  </si>
  <si>
    <t>Magnetic Resonance Imaging in Orthopaedics and Sports Medicine</t>
  </si>
  <si>
    <t>978-0-7817-7357-7</t>
  </si>
  <si>
    <t>0-7817-7357-1</t>
  </si>
  <si>
    <t>Magnetic Resonance Imaging of the Brain and Spine</t>
  </si>
  <si>
    <t>978-0-7817-6985-3</t>
  </si>
  <si>
    <t>0-7817-6985-X</t>
  </si>
  <si>
    <t>Managing Chronic Disorders</t>
  </si>
  <si>
    <t>978-1-5825-5442-6</t>
  </si>
  <si>
    <t>1-5825-5442-0</t>
  </si>
  <si>
    <t>Manual of Allergy &amp; Immunology</t>
  </si>
  <si>
    <t>978-0-7817-3052-5</t>
  </si>
  <si>
    <t>0-7817-3052-X</t>
  </si>
  <si>
    <t>Manual of Ambulatory Pediatrics</t>
  </si>
  <si>
    <t>978-0-7817-4136-1</t>
  </si>
  <si>
    <t>0-7817-4136-X</t>
  </si>
  <si>
    <t>Manual of Clinical Hematology</t>
  </si>
  <si>
    <t>978-0-7817-2980-2</t>
  </si>
  <si>
    <t>0-7817-2980-7</t>
  </si>
  <si>
    <t>Manual of Clinical Oncology</t>
  </si>
  <si>
    <t>978-0-7817-4741-7</t>
  </si>
  <si>
    <t>0-7817-4741-4</t>
  </si>
  <si>
    <t>MANUAL OF CLINICAL ONCOLOGY</t>
  </si>
  <si>
    <t>978-0-7817-6884-9</t>
  </si>
  <si>
    <t>0-7817-6884-5</t>
  </si>
  <si>
    <t>Manual of Clinical Problems in Infectious Diseases</t>
  </si>
  <si>
    <t>978-0-7817-5929-8</t>
  </si>
  <si>
    <t>0-7817-5929-3</t>
  </si>
  <si>
    <t>Manual of Clinical Problems in Pediatrics</t>
  </si>
  <si>
    <t>978-0-7817-2893-5</t>
  </si>
  <si>
    <t>0-7817-2893-2</t>
  </si>
  <si>
    <t>Manual of Clinical Problems in Pulmonary Medicine</t>
  </si>
  <si>
    <t>978-0-7817-5277-0</t>
  </si>
  <si>
    <t>0-7817-5277-9</t>
  </si>
  <si>
    <t>Manual of Common Bedside Surgical Procedures</t>
  </si>
  <si>
    <t>978-0-6833-0792-4</t>
  </si>
  <si>
    <t>0-6833-0792-4</t>
  </si>
  <si>
    <t>Manual of Dermatologic Therapeutics</t>
  </si>
  <si>
    <t>978-0-7817-6058-4</t>
  </si>
  <si>
    <t>0-7817-6058-5</t>
  </si>
  <si>
    <t>Manual of Emergency Airway Management</t>
  </si>
  <si>
    <t>978-0-7817-4764-6</t>
  </si>
  <si>
    <t>0-7817-4764-3</t>
  </si>
  <si>
    <t>978-0-7817-8494-8</t>
  </si>
  <si>
    <t>0-7817-8494-8</t>
  </si>
  <si>
    <t>Manual of Emergency Medicine, The</t>
  </si>
  <si>
    <t>978-0-7817-5035-6</t>
  </si>
  <si>
    <t>0-7817-5035-0</t>
  </si>
  <si>
    <t>Manual of Family Practice</t>
  </si>
  <si>
    <t>978-0-7817-2652-8</t>
  </si>
  <si>
    <t>0-7817-2652-2</t>
  </si>
  <si>
    <t>Manual of Gastroenterology: Diagnosis and Therapy</t>
  </si>
  <si>
    <t>978-0-7817-3362-5</t>
  </si>
  <si>
    <t>0-7817-3362-6</t>
  </si>
  <si>
    <t>Manual of Gastroenterology: Diagnosis And Therapy</t>
  </si>
  <si>
    <t>978-0-7817-6974-7</t>
  </si>
  <si>
    <t>0-7817-6974-4</t>
  </si>
  <si>
    <t>Manual of Intensive Care Medicine</t>
  </si>
  <si>
    <t>978-0-7817-5497-2</t>
  </si>
  <si>
    <t>0-7817-5497-6</t>
  </si>
  <si>
    <t>Manual of Laboratory &amp; Diagnostic Tests</t>
  </si>
  <si>
    <t>978-0-7817-4180-4</t>
  </si>
  <si>
    <t>0-7817-4180-7</t>
  </si>
  <si>
    <t>Manual of Laboratory and Diagnostic Tests, A</t>
  </si>
  <si>
    <t>978-0-7817-7194-8</t>
  </si>
  <si>
    <t>0-7817-7194-3</t>
  </si>
  <si>
    <t>Manual of Musculoskeletal Medicine</t>
  </si>
  <si>
    <t>978-0-7817-7919-7</t>
  </si>
  <si>
    <t>0-7817-7919-7</t>
  </si>
  <si>
    <t>Manual of Neonatal Care</t>
  </si>
  <si>
    <t>978-0-7817-6984-6</t>
  </si>
  <si>
    <t>0-7817-6984-1</t>
  </si>
  <si>
    <t>Manual of Nephrology</t>
  </si>
  <si>
    <t>978-0-7817-5020-2</t>
  </si>
  <si>
    <t>0-7817-5020-2</t>
  </si>
  <si>
    <t>Manual of Nerve Conduction Study and Surface Anatomy for Needle Electromyography</t>
  </si>
  <si>
    <t>978-0-7817-5821-5</t>
  </si>
  <si>
    <t>0-7817-5821-1</t>
  </si>
  <si>
    <t>Manual of Neurologic Therapeutics</t>
  </si>
  <si>
    <t>978-0-7817-4646-5</t>
  </si>
  <si>
    <t>0-7817-4646-9</t>
  </si>
  <si>
    <t>Manual of Nutritional Therapeutics</t>
  </si>
  <si>
    <t>978-0-7817-6841-2</t>
  </si>
  <si>
    <t>0-7817-6841-1</t>
  </si>
  <si>
    <t>Manual of Obstetrics</t>
  </si>
  <si>
    <t>978-0-7817-9696-5</t>
  </si>
  <si>
    <t>0-7817-9696-2</t>
  </si>
  <si>
    <t>Manual of Ocular Diagnosis &amp; Therapy</t>
  </si>
  <si>
    <t>978-0-7817-3298-7</t>
  </si>
  <si>
    <t>0-7817-3298-0</t>
  </si>
  <si>
    <t>Manual of Ocular Diagnosis and Therapy</t>
  </si>
  <si>
    <t>978-0-7817-6512-1</t>
  </si>
  <si>
    <t>0-7817-6512-9</t>
  </si>
  <si>
    <t>Manual of Office-Based Anesthesia Procedures</t>
  </si>
  <si>
    <t>978-0-7817-6908-2</t>
  </si>
  <si>
    <t>0-7817-6908-6</t>
  </si>
  <si>
    <t>Manual of Orthopaedics</t>
  </si>
  <si>
    <t>978-0-7817-5755-3</t>
  </si>
  <si>
    <t>0-7817-5755-X</t>
  </si>
  <si>
    <t>Manual of Outpatient Gynecology</t>
  </si>
  <si>
    <t>978-0-7817-3278-9</t>
  </si>
  <si>
    <t>0-7817-3278-6</t>
  </si>
  <si>
    <t>Manual of Overdoses and Poisonings</t>
  </si>
  <si>
    <t>978-0-7817-5498-9</t>
  </si>
  <si>
    <t>0-7817-5498-4</t>
  </si>
  <si>
    <t>Manual of Pediatric Therapeutics</t>
  </si>
  <si>
    <t>978-0-7817-7166-5</t>
  </si>
  <si>
    <t>0-7817-7166-8</t>
  </si>
  <si>
    <t>Manual of Peripheral Vascular Intervention</t>
  </si>
  <si>
    <t>978-0-7817-5238-1</t>
  </si>
  <si>
    <t>0-7817-5238-8</t>
  </si>
  <si>
    <t>Manual of Psychiatric Therapeutics</t>
  </si>
  <si>
    <t>978-0-7817-2470-8</t>
  </si>
  <si>
    <t>0-7817-2470-8</t>
  </si>
  <si>
    <t>Manual of Radiology: Acute Problems and Essential Procedures</t>
  </si>
  <si>
    <t>978-0-7817-9964-5</t>
  </si>
  <si>
    <t>0-7817-9964-3</t>
  </si>
  <si>
    <t>Manual of Vascular Diseases</t>
  </si>
  <si>
    <t>978-0-7817-4499-7</t>
  </si>
  <si>
    <t>0-7817-4499-7</t>
  </si>
  <si>
    <t>Marriott's Practical Electrocardiography</t>
  </si>
  <si>
    <t>978-0-7817-9738-2</t>
  </si>
  <si>
    <t>0-7817-9738-1</t>
  </si>
  <si>
    <t>11th_Edition</t>
  </si>
  <si>
    <t>978-0-6833-0746-7</t>
  </si>
  <si>
    <t>0-6833-0746-0</t>
  </si>
  <si>
    <t>Massachusetts Eye and Ear Infirmary Review Manual for Ophthalmology, The</t>
  </si>
  <si>
    <t>978-0-7817-5813-0</t>
  </si>
  <si>
    <t>0-7817-5813-0</t>
  </si>
  <si>
    <t>Massachusetts General Hospital Handbook of Neurology, The</t>
  </si>
  <si>
    <t>978-0-7817-5137-7</t>
  </si>
  <si>
    <t>0-7817-5137-3</t>
  </si>
  <si>
    <t>Massachusetts General Hospital Handbook of Pain Management</t>
  </si>
  <si>
    <t>978-0-7817-6224-3</t>
  </si>
  <si>
    <t>0-7817-6224-3</t>
  </si>
  <si>
    <t>Master Techniques in Orthopaedic Surgery: Fractures</t>
  </si>
  <si>
    <t>978-0-7817-5290-9</t>
  </si>
  <si>
    <t>0-7817-5290-6</t>
  </si>
  <si>
    <t>Master Techniques in Orthopaedic Surgery: Knee Arthroplasty</t>
  </si>
  <si>
    <t>978-0-7817-3166-9</t>
  </si>
  <si>
    <t>0-7817-3166-6</t>
  </si>
  <si>
    <t>Master Techniques in Orthopaedic Surgery: Reconstructive Knee Surgery</t>
  </si>
  <si>
    <t>978-0-7817-6563-3</t>
  </si>
  <si>
    <t>0-7817-6563-3</t>
  </si>
  <si>
    <t>Master Techniques in Orthopaedic Surgery: The Elbow</t>
  </si>
  <si>
    <t>978-0-7817-1991-9</t>
  </si>
  <si>
    <t>0-7817-1991-7</t>
  </si>
  <si>
    <t>Master Techniques in Orthopaedic Surgery: The Foot and Ankle</t>
  </si>
  <si>
    <t>978-0-7817-3363-2</t>
  </si>
  <si>
    <t>0-7817-3363-4</t>
  </si>
  <si>
    <t>Master Techniques in Orthopaedic Surgery: The Hip</t>
  </si>
  <si>
    <t>978-0-7817-4634-2</t>
  </si>
  <si>
    <t>0-7817-4634-5</t>
  </si>
  <si>
    <t>Master Techniques in Orthopaedic Surgery: The Shoulder</t>
  </si>
  <si>
    <t>978-0-7817-3590-2</t>
  </si>
  <si>
    <t>0-7817-3590-4</t>
  </si>
  <si>
    <t>Master Techniques in Orthopaedic Surgery: The Spine</t>
  </si>
  <si>
    <t>978-0-7817-4078-4</t>
  </si>
  <si>
    <t>0-7817-4078-9</t>
  </si>
  <si>
    <t>Master Techniques in Orthopaedic Surgery: The Wrist</t>
  </si>
  <si>
    <t>978-0-7817-2372-5</t>
  </si>
  <si>
    <t>0-7817-2372-8</t>
  </si>
  <si>
    <t>Mastering ACLS</t>
  </si>
  <si>
    <t>978-1-5825-5363-4</t>
  </si>
  <si>
    <t>1-5825-5363-7</t>
  </si>
  <si>
    <t>Mastering Endovascular Techniques: A Guide to Excellence</t>
  </si>
  <si>
    <t>978-1-5825-5967-4</t>
  </si>
  <si>
    <t>1-5825-5967-8</t>
  </si>
  <si>
    <t>Mastery of Cardiothoracic Surgery</t>
  </si>
  <si>
    <t>978-0-7817-5209-1</t>
  </si>
  <si>
    <t>0-7817-5209-4</t>
  </si>
  <si>
    <t>Mastery of Endoscopic and Laparoscopic Surgery: Indications and Techniques</t>
  </si>
  <si>
    <t>978-0-7817-7198-6</t>
  </si>
  <si>
    <t>0-7817-7198-6</t>
  </si>
  <si>
    <t>Mastery of Surgery</t>
  </si>
  <si>
    <t>978-0-7817-7165-8</t>
  </si>
  <si>
    <t>0-7817-7165-X</t>
  </si>
  <si>
    <t>Mastery of Vascular and Endovascular Surgery: An Illustrated Review (Mastery of Vascular and Endovascular Surgery (Zelenock))</t>
  </si>
  <si>
    <t>978-0-7817-5331-9</t>
  </si>
  <si>
    <t>0-7817-5331-7</t>
  </si>
  <si>
    <t>Maternal-Neonatal Facts Made Incredibly Quick!</t>
  </si>
  <si>
    <t>978-1-5825-5687-1</t>
  </si>
  <si>
    <t>1-5825-5687-3</t>
  </si>
  <si>
    <t>Maternal-Neonatal Nursing in a Flash</t>
  </si>
  <si>
    <t>978-0-7817-9285-1</t>
  </si>
  <si>
    <t>0-7817-9285-1</t>
  </si>
  <si>
    <t>Maternal-Neonatal Nursing Made Incredibly Easy!</t>
  </si>
  <si>
    <t>978-1-5825-5651-2</t>
  </si>
  <si>
    <t>1-5825-5651-2</t>
  </si>
  <si>
    <t>McGlamry's Forefoot Surgery (Biopsy Interpretation Series)</t>
  </si>
  <si>
    <t>978-0-7817-5455-2</t>
  </si>
  <si>
    <t>0-7817-5455-0</t>
  </si>
  <si>
    <t>MD Anderson Surgical Oncology Handbook, The</t>
  </si>
  <si>
    <t>978-0-7817-5643-3</t>
  </si>
  <si>
    <t>0-7817-5643-X</t>
  </si>
  <si>
    <t>Medical Management of Kidney Transplantation</t>
  </si>
  <si>
    <t>978-0-7817-4491-1</t>
  </si>
  <si>
    <t>0-7817-4491-1</t>
  </si>
  <si>
    <t>Medical Psychiatry: The Quick Reference</t>
  </si>
  <si>
    <t>978-0-7817-7209-9</t>
  </si>
  <si>
    <t>0-7817-7209-5</t>
  </si>
  <si>
    <t>Medical Response to Terrorism: Preparedness and Clinical Practice</t>
  </si>
  <si>
    <t>978-0-7817-4986-2</t>
  </si>
  <si>
    <t>0-7817-4986-7</t>
  </si>
  <si>
    <t>Medical Spanish Made Incredibly Easy!</t>
  </si>
  <si>
    <t>978-0-7817-8941-7</t>
  </si>
  <si>
    <t>0-7817-8941-9</t>
  </si>
  <si>
    <t>Medical Spanish Made Incredibly Quick!</t>
  </si>
  <si>
    <t>978-1-5825-5684-0</t>
  </si>
  <si>
    <t>1-5825-5684-9</t>
  </si>
  <si>
    <t>Medical Terminology Made Incredibly Easy!</t>
  </si>
  <si>
    <t>978-0-7817-8845-8</t>
  </si>
  <si>
    <t>0-7817-8845-5</t>
  </si>
  <si>
    <t>Medical-Surgical Care Planning</t>
  </si>
  <si>
    <t>978-1-5825-5224-8</t>
  </si>
  <si>
    <t>1-5825-5224-X</t>
  </si>
  <si>
    <t>Medical-Surgical Nursing</t>
  </si>
  <si>
    <t>978-1-5825-5348-1</t>
  </si>
  <si>
    <t>1-5825-5348-3</t>
  </si>
  <si>
    <t>Medical-Surgical Nursing Made Incredibly Easy!</t>
  </si>
  <si>
    <t>978-1-5825-5567-6</t>
  </si>
  <si>
    <t>1-5825-5567-2</t>
  </si>
  <si>
    <t>Medication Administration Made Incredibly Easy!</t>
  </si>
  <si>
    <t>978-1-5825-5222-4</t>
  </si>
  <si>
    <t>1-5825-5222-3</t>
  </si>
  <si>
    <t>Mental Health and Psychiatric Nursing</t>
  </si>
  <si>
    <t>978-1-5825-5454-9</t>
  </si>
  <si>
    <t>1-5825-5454-4</t>
  </si>
  <si>
    <t>Merritt's Neurology</t>
  </si>
  <si>
    <t>978-0-7817-5311-1</t>
  </si>
  <si>
    <t>0-7817-5311-2</t>
  </si>
  <si>
    <t>Merritt's Neurology Handbook</t>
  </si>
  <si>
    <t>978-0-7817-6270-0</t>
  </si>
  <si>
    <t>0-7817-6270-7</t>
  </si>
  <si>
    <t>Michigan Manual of Plastic Surgery</t>
  </si>
  <si>
    <t>978-0-7817-5189-6</t>
  </si>
  <si>
    <t>0-7817-5189-6</t>
  </si>
  <si>
    <t>Modern Epidemiology</t>
  </si>
  <si>
    <t>978-0-7817-5564-1</t>
  </si>
  <si>
    <t>0-7817-5564-6</t>
  </si>
  <si>
    <t>Modern Nutrition in Health and Disease</t>
  </si>
  <si>
    <t>978-0-7817-4133-0</t>
  </si>
  <si>
    <t>0-7817-4133-5</t>
  </si>
  <si>
    <t>Moffet's Pediatric Infectious Diseases: A Problem-Oriented Approach</t>
  </si>
  <si>
    <t>978-0-7817-2943-7</t>
  </si>
  <si>
    <t>0-7817-2943-2</t>
  </si>
  <si>
    <t>Molecular Anatomic Imaging: PET-CT and SPECT-CT Integrated Modality Imaging</t>
  </si>
  <si>
    <t>978-0-7817-7674-5</t>
  </si>
  <si>
    <t>0-7817-7674-0</t>
  </si>
  <si>
    <t>Molecular Genetic Testing in Surgical Pathology</t>
  </si>
  <si>
    <t>978-0-7817-4748-6</t>
  </si>
  <si>
    <t>0-7817-4748-1</t>
  </si>
  <si>
    <t>Mood Disorders: A Practical Guide</t>
  </si>
  <si>
    <t>978-0-7817-6763-7</t>
  </si>
  <si>
    <t>0-7817-6763-6</t>
  </si>
  <si>
    <t>Moss &amp; Adams' Heart Disease in Infants, Children &amp; Adolescents: Including the Fetus and Young Adults</t>
  </si>
  <si>
    <t>978-0-6833-0742-9</t>
  </si>
  <si>
    <t>0-6833-0742-8</t>
  </si>
  <si>
    <t>Moss and Adams' Heart Disease in Infants, Children, and Adolescents: Including the Fetus and Young Adults</t>
  </si>
  <si>
    <t>978-0-7817-8684-3</t>
  </si>
  <si>
    <t>0-7817-8684-3</t>
  </si>
  <si>
    <t>MRI and CT of the Cardiovascular System</t>
  </si>
  <si>
    <t>978-0-7817-6271-7</t>
  </si>
  <si>
    <t>0-7817-6271-5</t>
  </si>
  <si>
    <t>MRI of the Musculoskeletal System</t>
  </si>
  <si>
    <t>978-0-7817-5502-3</t>
  </si>
  <si>
    <t>0-7817-5502-6</t>
  </si>
  <si>
    <t>MRI of the Shoulder</t>
  </si>
  <si>
    <t>978-0-7817-1590-4</t>
  </si>
  <si>
    <t>0-7817-1590-3</t>
  </si>
  <si>
    <t>MRI: The Basics</t>
  </si>
  <si>
    <t>978-0-7817-4157-6</t>
  </si>
  <si>
    <t>0-7817-4157-2</t>
  </si>
  <si>
    <t>Multidetector CT: Principles, Techniques, and Clinical Applications</t>
  </si>
  <si>
    <t>978-0-7817-4087-6</t>
  </si>
  <si>
    <t>0-7817-4087-8</t>
  </si>
  <si>
    <t>Multiple Sclerosis and Demyelinating Diseases (Advances in Neurology)</t>
  </si>
  <si>
    <t>978-0-7817-5170-4</t>
  </si>
  <si>
    <t>0-7817-5170-5</t>
  </si>
  <si>
    <t>Musculoskeletal Imaging Companion</t>
  </si>
  <si>
    <t>978-0-7817-6374-5</t>
  </si>
  <si>
    <t>0-7817-6374-6</t>
  </si>
  <si>
    <t>Musculoskeletal Imaging: A Teaching File</t>
  </si>
  <si>
    <t>978-0-7817-5754-6</t>
  </si>
  <si>
    <t>0-7817-5754-1</t>
  </si>
  <si>
    <t>Myoclonic Epilepsies: Advances in Neurology</t>
  </si>
  <si>
    <t>978-0-7817-5248-0</t>
  </si>
  <si>
    <t>0-7817-5248-5</t>
  </si>
  <si>
    <t>Neonatal and Pediatric Pharmacology: Therapeutic Principles in Practice</t>
  </si>
  <si>
    <t>978-0-7817-4185-9</t>
  </si>
  <si>
    <t>0-7817-4185-8</t>
  </si>
  <si>
    <t>Neurological and Neurosurgical Intensive Care</t>
  </si>
  <si>
    <t>978-0-7817-3196-6</t>
  </si>
  <si>
    <t>0-7817-3196-8</t>
  </si>
  <si>
    <t>Neurology (HO)</t>
  </si>
  <si>
    <t>978-0-7817-4747-9</t>
  </si>
  <si>
    <t>0-7817-4747-3</t>
  </si>
  <si>
    <t>Neurology for the Boards</t>
  </si>
  <si>
    <t>978-0-7817-9404-6</t>
  </si>
  <si>
    <t>0-7817-9404-8</t>
  </si>
  <si>
    <t>Neurology for the Non-Neurologist</t>
  </si>
  <si>
    <t>978-0-7817-4631-1</t>
  </si>
  <si>
    <t>0-7817-4631-0</t>
  </si>
  <si>
    <t>Neuropsychiatry</t>
  </si>
  <si>
    <t>978-0-7817-2655-9</t>
  </si>
  <si>
    <t>0-7817-2655-7</t>
  </si>
  <si>
    <t>Neuropsychopharmacology: The Fifth Generation of Progress: An Official Publication of the American College of Neuropsychopharmacology</t>
  </si>
  <si>
    <t>978-0-7817-2837-9</t>
  </si>
  <si>
    <t>0-7817-2837-1</t>
  </si>
  <si>
    <t>Neuroradiology Companion: Methods, Guidelines, and Imaging Fundamentals</t>
  </si>
  <si>
    <t>978-0-7817-7949-4</t>
  </si>
  <si>
    <t>0-7817-7949-9</t>
  </si>
  <si>
    <t>Neuroscience of Clinical Psychiatry, The: The Pathophysiology of Behavior and Mental Illness</t>
  </si>
  <si>
    <t>978-0-7817-6655-5</t>
  </si>
  <si>
    <t>0-7817-6655-9</t>
  </si>
  <si>
    <t>Nonfusion Technologies in Spine Surgery</t>
  </si>
  <si>
    <t>978-0-7817-6972-3</t>
  </si>
  <si>
    <t>0-7817-6972-8</t>
  </si>
  <si>
    <t>Nuclear Medicine Imaging: A Teaching File</t>
  </si>
  <si>
    <t>978-0-7817-6988-4</t>
  </si>
  <si>
    <t>0-7817-6988-4</t>
  </si>
  <si>
    <t>Nuclear Medicine Physics: The Basics</t>
  </si>
  <si>
    <t>978-0-7817-4753-0</t>
  </si>
  <si>
    <t>0-7817-4753-8</t>
  </si>
  <si>
    <t>Nurse's 3-Minute Clinical Reference</t>
  </si>
  <si>
    <t>978-1-5825-5670-3</t>
  </si>
  <si>
    <t>1-5825-5670-9</t>
  </si>
  <si>
    <t>Nurse's 5-Minute Clinical Consult: Diagnostic Tests</t>
  </si>
  <si>
    <t>978-1-5825-5514-0</t>
  </si>
  <si>
    <t>1-5825-5514-1</t>
  </si>
  <si>
    <t>Nurse's 5-Minute Clinical Consult: Diseases</t>
  </si>
  <si>
    <t>978-1-5825-5511-9</t>
  </si>
  <si>
    <t>1-5825-5511-7</t>
  </si>
  <si>
    <t>Nurse's 5-Minute Clinical Consult: Multisystem Disorders</t>
  </si>
  <si>
    <t>978-1-5825-5698-7</t>
  </si>
  <si>
    <t>1-5825-5698-9</t>
  </si>
  <si>
    <t>Nurse's 5-Minute Clinical Consult: Procedures</t>
  </si>
  <si>
    <t>978-1-5825-5513-3</t>
  </si>
  <si>
    <t>1-5825-5513-3</t>
  </si>
  <si>
    <t>Nurse's 5-Minute Clinical Consult: Signs &amp; Symptoms</t>
  </si>
  <si>
    <t>978-1-5825-5703-8</t>
  </si>
  <si>
    <t>1-5825-5703-9</t>
  </si>
  <si>
    <t>Nurse's 5-Minute Clinical Consult: Treatments</t>
  </si>
  <si>
    <t>978-1-5825-5512-6</t>
  </si>
  <si>
    <t>1-5825-5512-5</t>
  </si>
  <si>
    <t>Nurse's Quick Check: Diagnostic Tests</t>
  </si>
  <si>
    <t>978-1-5825-5415-0</t>
  </si>
  <si>
    <t>1-5825-5415-3</t>
  </si>
  <si>
    <t>Nurse's Quick Check: Diseases</t>
  </si>
  <si>
    <t>978-0-7817-8940-0</t>
  </si>
  <si>
    <t>0-7817-8940-0</t>
  </si>
  <si>
    <t>Nurse's Quick Check: Fluids and Electrolytes</t>
  </si>
  <si>
    <t>978-1-5825-5414-3</t>
  </si>
  <si>
    <t>1-5825-5414-5</t>
  </si>
  <si>
    <t>Nurse's Quick Check: Signs &amp; Symptoms</t>
  </si>
  <si>
    <t>978-1-5825-5413-6</t>
  </si>
  <si>
    <t>1-5825-5413-7</t>
  </si>
  <si>
    <t>Nurse's Quick Check: Skills</t>
  </si>
  <si>
    <t>978-1-5825-5416-7</t>
  </si>
  <si>
    <t>1-5825-5416-1</t>
  </si>
  <si>
    <t>Nurse's Rapid Reference</t>
  </si>
  <si>
    <t>978-0-7817-8742-0</t>
  </si>
  <si>
    <t>0-7817-8742-4</t>
  </si>
  <si>
    <t>Nurses Legal Handbook</t>
  </si>
  <si>
    <t>978-1-5825-5280-4</t>
  </si>
  <si>
    <t>1-5825-5280-0</t>
  </si>
  <si>
    <t>Nurses' Guide to Clinical Procedures</t>
  </si>
  <si>
    <t>978-0-7817-5379-1</t>
  </si>
  <si>
    <t>0-7817-5379-1</t>
  </si>
  <si>
    <t>Nursing 2007 Dangerous Drug Interactions</t>
  </si>
  <si>
    <t>978-1-5825-5615-4</t>
  </si>
  <si>
    <t>1-5825-5615-6</t>
  </si>
  <si>
    <t>Nursing Care Planning Made Incredibly Easy!</t>
  </si>
  <si>
    <t>978-1-5825-5553-9</t>
  </si>
  <si>
    <t>1-5825-5553-2</t>
  </si>
  <si>
    <t>Nursing Care Plans &amp; Documentation: Nursing Diagnoses and Collaborative Problems</t>
  </si>
  <si>
    <t>978-0-7817-3906-1</t>
  </si>
  <si>
    <t>0-7817-3906-3</t>
  </si>
  <si>
    <t>Nursing Diagnosis Reference Manual</t>
  </si>
  <si>
    <t>978-0-7817-7178-8</t>
  </si>
  <si>
    <t>0-7817-7178-1</t>
  </si>
  <si>
    <t>Nursing Diagnosis: Application to Clinical Practice</t>
  </si>
  <si>
    <t>978-0-7817-6131-4</t>
  </si>
  <si>
    <t>0-7817-6131-X</t>
  </si>
  <si>
    <t>978-0-7817-8121-3</t>
  </si>
  <si>
    <t>0-7817-8121-3</t>
  </si>
  <si>
    <t>Lippincott WIlliams &amp; Wilkins - a Wolters Kluwer business (Copyright 2008 by Lynda Juall Carpenito-Moyet.)</t>
  </si>
  <si>
    <t>Nursing Facts Made Incredibly Quick!</t>
  </si>
  <si>
    <t>978-1-5825-5740-3</t>
  </si>
  <si>
    <t>1-5825-5740-3</t>
  </si>
  <si>
    <t>Nursing Herbal Medicine Handbook</t>
  </si>
  <si>
    <t>978-1-5825-5417-4</t>
  </si>
  <si>
    <t>1-5825-5417-X</t>
  </si>
  <si>
    <t>Nursing I.V. Drug Handbook</t>
  </si>
  <si>
    <t>978-1-5825-5978-0</t>
  </si>
  <si>
    <t>1-5825-5978-3</t>
  </si>
  <si>
    <t>Nursing in a Flash</t>
  </si>
  <si>
    <t>978-0-7817-9282-0</t>
  </si>
  <si>
    <t>0-7817-9282-7</t>
  </si>
  <si>
    <t>Nursing Know-How: Charting Patient Care</t>
  </si>
  <si>
    <t>978-0-7817-9194-6</t>
  </si>
  <si>
    <t>0-7817-9194-4</t>
  </si>
  <si>
    <t>Nursing Know-How: Evaluating Heart &amp; Breath Sounds</t>
  </si>
  <si>
    <t>978-0-7817-9203-5</t>
  </si>
  <si>
    <t>0-7817-9203-7</t>
  </si>
  <si>
    <t>Nursing Know-How: Evaluating Signs &amp; Symptoms</t>
  </si>
  <si>
    <t>978-0-7817-9205-9</t>
  </si>
  <si>
    <t>0-7817-9205-3</t>
  </si>
  <si>
    <t>Nursing Know-How: Interpreting ECGs</t>
  </si>
  <si>
    <t>978-0-7817-9206-6</t>
  </si>
  <si>
    <t>0-7817-9206-1</t>
  </si>
  <si>
    <t>Nursing Pharmacology Made Incredibly Easy!</t>
  </si>
  <si>
    <t>978-0-7817-9289-9</t>
  </si>
  <si>
    <t>0-7817-9289-4</t>
  </si>
  <si>
    <t>Nursing Preceptorship: Connecting Practice and Education</t>
  </si>
  <si>
    <t>978-0-7817-5065-3</t>
  </si>
  <si>
    <t>0-7817-5065-2</t>
  </si>
  <si>
    <t>Nursing Procedures</t>
  </si>
  <si>
    <t>978-1-5825-5281-1</t>
  </si>
  <si>
    <t>1-5825-5281-9</t>
  </si>
  <si>
    <t>Nursing Procedures and Protocols</t>
  </si>
  <si>
    <t>978-1-5825-5237-8</t>
  </si>
  <si>
    <t>1-5825-5237-1</t>
  </si>
  <si>
    <t>Nursing Procedures Made Incredibly Easy!</t>
  </si>
  <si>
    <t>978-1-5825-5167-8</t>
  </si>
  <si>
    <t>1-5825-5167-7</t>
  </si>
  <si>
    <t>Nursing Student Success Made Incredibly Easy!</t>
  </si>
  <si>
    <t>978-1-5825-5369-6</t>
  </si>
  <si>
    <t>1-5825-5369-6</t>
  </si>
  <si>
    <t>Nursing: Deciphering Diagnostic Tests</t>
  </si>
  <si>
    <t>978-1-5825-5662-8</t>
  </si>
  <si>
    <t>1-5825-5662-8</t>
  </si>
  <si>
    <t>Nursing: Interpreting Signs &amp; Symptoms</t>
  </si>
  <si>
    <t>978-1-5825-5668-0</t>
  </si>
  <si>
    <t>1-5825-5668-7</t>
  </si>
  <si>
    <t>Nursing: Perfecting Clinical Procedures</t>
  </si>
  <si>
    <t>978-1-5825-5664-2</t>
  </si>
  <si>
    <t>1-5825-5664-4</t>
  </si>
  <si>
    <t>Nursing: Understanding Diseases</t>
  </si>
  <si>
    <t>978-1-5825-5665-9</t>
  </si>
  <si>
    <t>1-5825-5665-2</t>
  </si>
  <si>
    <t>Nutrition Essentials for Nursing Practice</t>
  </si>
  <si>
    <t>978-0-7817-5382-1</t>
  </si>
  <si>
    <t>0-7817-5382-1</t>
  </si>
  <si>
    <t>Nutrition in Clinical Practice: A Comprehensive, Evidence-Based Manual for the Practitioner</t>
  </si>
  <si>
    <t>978-1-5825-5821-9</t>
  </si>
  <si>
    <t>1-5825-5821-3</t>
  </si>
  <si>
    <t>Nutrition Made Incredibly Easy!</t>
  </si>
  <si>
    <t>978-1-5825-5521-8</t>
  </si>
  <si>
    <t>1-5825-5521-4</t>
  </si>
  <si>
    <t>Occupational and Environmental Health: Recognizing and Preventing Disease and Injury</t>
  </si>
  <si>
    <t>978-0-7817-5551-1</t>
  </si>
  <si>
    <t>0-7817-5551-4</t>
  </si>
  <si>
    <t>Occupational Musculoskeletal Disorders</t>
  </si>
  <si>
    <t>978-0-7817-4922-0</t>
  </si>
  <si>
    <t>0-7817-4922-0</t>
  </si>
  <si>
    <t>Ocular Differential Diagnosis</t>
  </si>
  <si>
    <t>978-0-7817-3607-7</t>
  </si>
  <si>
    <t>0-7817-3607-2</t>
  </si>
  <si>
    <t>Ocular Syndromes and Systemic Diseases</t>
  </si>
  <si>
    <t>978-0-7817-4025-8</t>
  </si>
  <si>
    <t>0-7817-4025-8</t>
  </si>
  <si>
    <t>Ocular Therapeutics Handbook: A Clinical Manual</t>
  </si>
  <si>
    <t>978-0-7817-4892-6</t>
  </si>
  <si>
    <t>0-7817-4892-5</t>
  </si>
  <si>
    <t>Office Care Geriatrics</t>
  </si>
  <si>
    <t>978-0-7817-6196-3</t>
  </si>
  <si>
    <t>0-7817-6196-4</t>
  </si>
  <si>
    <t>Oncology and Basic Science</t>
  </si>
  <si>
    <t>978-0-7817-8045-2</t>
  </si>
  <si>
    <t>0-7817-8045-4</t>
  </si>
  <si>
    <t>Only EKG Book You'll Ever Need, The</t>
  </si>
  <si>
    <t>978-0-7817-7315-7</t>
  </si>
  <si>
    <t>0-7817-7315-6</t>
  </si>
  <si>
    <t>Operative Anatomy</t>
  </si>
  <si>
    <t>978-0-7817-6539-8</t>
  </si>
  <si>
    <t>0-7817-6539-0</t>
  </si>
  <si>
    <t>Operative Arthroscopy</t>
  </si>
  <si>
    <t>978-0-7817-3265-9</t>
  </si>
  <si>
    <t>0-7817-3265-4</t>
  </si>
  <si>
    <t>Operative Techniques in Laparoscopic Colorectal Surgery</t>
  </si>
  <si>
    <t>978-0-7817-6334-0</t>
  </si>
  <si>
    <t>Orthopedic Imaging: A Practical Approach</t>
  </si>
  <si>
    <t>978-0-7817-5006-6</t>
  </si>
  <si>
    <t>0-7817-5006-7</t>
  </si>
  <si>
    <t>Orthospinology Procedures: An Evidenced-Based Approach to Spinal Care</t>
  </si>
  <si>
    <t>978-0-7817-8436-8</t>
  </si>
  <si>
    <t>0-7817-8436-0</t>
  </si>
  <si>
    <t>Oski's Pediatrics</t>
  </si>
  <si>
    <t>978-0-7817-3894-1</t>
  </si>
  <si>
    <t>0-7817-3894-6</t>
  </si>
  <si>
    <t>Osteoarthritis: Diagnosis and Medical/Surgical Management</t>
  </si>
  <si>
    <t>978-0-7817-6707-1</t>
  </si>
  <si>
    <t>0-7817-6707-5</t>
  </si>
  <si>
    <t>Osteoporosis: A Guide for Clinicians</t>
  </si>
  <si>
    <t>978-0-7817-8619-5</t>
  </si>
  <si>
    <t>0-7817-8619-3</t>
  </si>
  <si>
    <t>Ostergard's Urogynecology and Pelvic Floor Dysfunction</t>
  </si>
  <si>
    <t>978-0-7817-7095-8</t>
  </si>
  <si>
    <t>0-7817-7095-5</t>
  </si>
  <si>
    <t>Ovarian Cancer</t>
  </si>
  <si>
    <t>978-0-7817-2408-1</t>
  </si>
  <si>
    <t>0-7817-2408-2</t>
  </si>
  <si>
    <t>Own the Boards: Rapid Internal Medicine Board Review and Recertification Guide</t>
  </si>
  <si>
    <t>978-0-7817-7215-0</t>
  </si>
  <si>
    <t>0-7817-7215-X</t>
  </si>
  <si>
    <t>Pain in Infants, Children, and Adolescents</t>
  </si>
  <si>
    <t>978-0-7817-2644-3</t>
  </si>
  <si>
    <t>0-7817-2644-1</t>
  </si>
  <si>
    <t>Parietal Lobe, The</t>
  </si>
  <si>
    <t>978-0-7817-3625-1</t>
  </si>
  <si>
    <t>0-7817-3625-0</t>
  </si>
  <si>
    <t>Parkinson's Disease &amp; Movement Disorders</t>
  </si>
  <si>
    <t>978-0-7817-7881-7</t>
  </si>
  <si>
    <t>0-7817-7881-6</t>
  </si>
  <si>
    <t>Pathophysiology Made Incredibly Easy!</t>
  </si>
  <si>
    <t>978-0-7817-7912-8</t>
  </si>
  <si>
    <t>0-7817-7912-X</t>
  </si>
  <si>
    <t>Pathophysiology Made Incredibly Visual!</t>
  </si>
  <si>
    <t>978-1-5825-5555-3</t>
  </si>
  <si>
    <t>1-5825-5555-9</t>
  </si>
  <si>
    <t>Pathophysiology: A 2-in-1 Reference for Nurses</t>
  </si>
  <si>
    <t>978-1-5825-5317-7</t>
  </si>
  <si>
    <t>1-5825-5317-3</t>
  </si>
  <si>
    <t>Pathophysiology: An Incredibly Easy! Pocket Guide</t>
  </si>
  <si>
    <t>978-1-5825-5434-1</t>
  </si>
  <si>
    <t>1-5825-5434-X</t>
  </si>
  <si>
    <t>Patterson's Allergic Diseases</t>
  </si>
  <si>
    <t>978-0-7817-2386-2</t>
  </si>
  <si>
    <t>0-7817-2386-8</t>
  </si>
  <si>
    <t>Paul &amp; Juhl's Essentials of Radiologic Imaging</t>
  </si>
  <si>
    <t>978-0-3975-8421-5</t>
  </si>
  <si>
    <t>0-3975-8421-0</t>
  </si>
  <si>
    <t>Pediatric &amp; Adolescent Gynecology</t>
  </si>
  <si>
    <t>978-0-7817-1781-6</t>
  </si>
  <si>
    <t>0-7817-1781-7</t>
  </si>
  <si>
    <t>978-0-7817-4493-5</t>
  </si>
  <si>
    <t>0-7817-4493-8</t>
  </si>
  <si>
    <t>Pediatric Cardiac Anesthesia</t>
  </si>
  <si>
    <t>978-0-7817-5175-9</t>
  </si>
  <si>
    <t>0-7817-5175-6</t>
  </si>
  <si>
    <t>Pediatric Care Planning</t>
  </si>
  <si>
    <t>978-0-8743-4943-6</t>
  </si>
  <si>
    <t>0-8743-4943-5</t>
  </si>
  <si>
    <t>Pediatric Cataract Surgery: Techniques, Complications, and Management</t>
  </si>
  <si>
    <t>978-0-7817-4307-5</t>
  </si>
  <si>
    <t>0-7817-4307-9</t>
  </si>
  <si>
    <t>Pediatric Critical Care Medicine</t>
  </si>
  <si>
    <t>978-0-7817-9469-5</t>
  </si>
  <si>
    <t>0-7817-9469-2</t>
  </si>
  <si>
    <t>Pediatric Endocrinology: Mechanisms, Manifestations, and Management</t>
  </si>
  <si>
    <t>978-0-7817-4059-3</t>
  </si>
  <si>
    <t>0-7817-4059-2</t>
  </si>
  <si>
    <t>Pediatric Facts Made Incredibly Quick!</t>
  </si>
  <si>
    <t>978-1-5825-5993-3</t>
  </si>
  <si>
    <t>1-5825-5993-7</t>
  </si>
  <si>
    <t>Pediatric Nephrology</t>
  </si>
  <si>
    <t>978-0-7817-3545-2</t>
  </si>
  <si>
    <t>0-7817-3545-9</t>
  </si>
  <si>
    <t>Pediatric Neuroimaging</t>
  </si>
  <si>
    <t>978-0-7817-5766-9</t>
  </si>
  <si>
    <t>0-7817-5766-5</t>
  </si>
  <si>
    <t>Pediatric Neurology: A Case Based Review</t>
  </si>
  <si>
    <t>978-0-7817-7888-6</t>
  </si>
  <si>
    <t>0-7817-7888-3</t>
  </si>
  <si>
    <t>Pediatric Neurology: Essentials for General Practice</t>
  </si>
  <si>
    <t>978-0-7817-6945-7</t>
  </si>
  <si>
    <t>0-7817-6945-0</t>
  </si>
  <si>
    <t>Pediatric Neuropsychiatry</t>
  </si>
  <si>
    <t>978-0-7817-5191-9</t>
  </si>
  <si>
    <t>0-7817-5191-8</t>
  </si>
  <si>
    <t>Pediatric Nursing</t>
  </si>
  <si>
    <t>978-1-5825-5349-8</t>
  </si>
  <si>
    <t>1-5825-5349-1</t>
  </si>
  <si>
    <t>Pediatric Nursing Made Incredibly Easy!</t>
  </si>
  <si>
    <t>978-1-5825-5347-4</t>
  </si>
  <si>
    <t>1-5825-5347-5</t>
  </si>
  <si>
    <t>Pediatric Pathology</t>
  </si>
  <si>
    <t>978-0-7817-1774-8</t>
  </si>
  <si>
    <t>0-7817-1774-4</t>
  </si>
  <si>
    <t>Pediatric Primary Care: Ill-Child Care</t>
  </si>
  <si>
    <t>978-0-7817-2890-4</t>
  </si>
  <si>
    <t>0-7817-2890-8</t>
  </si>
  <si>
    <t>Pediatric Primary Care: Well-Child Care</t>
  </si>
  <si>
    <t>978-0-7817-2889-8</t>
  </si>
  <si>
    <t>0-7817-2889-4</t>
  </si>
  <si>
    <t>Pediatric Radiation Oncology</t>
  </si>
  <si>
    <t>978-0-7817-4252-8</t>
  </si>
  <si>
    <t>0-7817-4252-8</t>
  </si>
  <si>
    <t>Pediatric Retina: Medical and Surgical Approaches</t>
  </si>
  <si>
    <t>978-0-7817-4782-0</t>
  </si>
  <si>
    <t>0-7817-4782-1</t>
  </si>
  <si>
    <t>Pediatric Spine, The: Principles and Practice</t>
  </si>
  <si>
    <t>978-0-7817-1908-7</t>
  </si>
  <si>
    <t>0-7817-1908-9</t>
  </si>
  <si>
    <t>Pediatric Telephone Advice</t>
  </si>
  <si>
    <t>978-0-7817-5079-0</t>
  </si>
  <si>
    <t>0-7817-5079-2</t>
  </si>
  <si>
    <t>Pediatrics</t>
  </si>
  <si>
    <t>978-0-7817-4436-2</t>
  </si>
  <si>
    <t>0-7817-4436-9</t>
  </si>
  <si>
    <t>Perez and Brady's Principles and Practice of Radiation Oncology</t>
  </si>
  <si>
    <t>978-0-7817-6369-1</t>
  </si>
  <si>
    <t>0-7817-6369-X</t>
  </si>
  <si>
    <t>Perioperative Care in Cardiac Anesthesia and Surgery</t>
  </si>
  <si>
    <t>978-0-7817-5774-4</t>
  </si>
  <si>
    <t>0-7817-5774-6</t>
  </si>
  <si>
    <t>Perioperative Transfusion Medicine</t>
  </si>
  <si>
    <t>978-0-7817-3755-5</t>
  </si>
  <si>
    <t>0-7817-3755-9</t>
  </si>
  <si>
    <t>Peripheral Nerve Blocks: A Color Atlas</t>
  </si>
  <si>
    <t>978-0-7817-3640-4</t>
  </si>
  <si>
    <t>0-7817-3640-4</t>
  </si>
  <si>
    <t>978-0-7817-6876-4</t>
  </si>
  <si>
    <t>0-7817-6876-4</t>
  </si>
  <si>
    <t>Peripheral Vascular Disease: Basic Diagnostic and Therapeutic Approaches</t>
  </si>
  <si>
    <t>978-0-7817-4383-9</t>
  </si>
  <si>
    <t>0-7817-4383-4</t>
  </si>
  <si>
    <t>Peripheral Vascular Interventions</t>
  </si>
  <si>
    <t>978-0-7817-8687-4</t>
  </si>
  <si>
    <t>0-7817-8687-8</t>
  </si>
  <si>
    <t>Peripheral Vascular Sonography A Practical Guide</t>
  </si>
  <si>
    <t>978-0-7817-4871-1</t>
  </si>
  <si>
    <t>0-7817-4871-2</t>
  </si>
  <si>
    <t>Perspectives in Cross-Cultural Psychiatry</t>
  </si>
  <si>
    <t>978-0-7817-5794-2</t>
  </si>
  <si>
    <t>0-7817-5794-0</t>
  </si>
  <si>
    <t>Pharmacology: A 2-in-1 Reference for Nurses</t>
  </si>
  <si>
    <t>978-1-5825-5320-7</t>
  </si>
  <si>
    <t>1-5825-5320-3</t>
  </si>
  <si>
    <t>Physical Medicine &amp; Rehabilitation: Principles and Practice</t>
  </si>
  <si>
    <t>978-0-7817-4130-9</t>
  </si>
  <si>
    <t>0-7817-4130-0</t>
  </si>
  <si>
    <t>Physical Medicine and Rehabilitation Pocketpedia</t>
  </si>
  <si>
    <t>978-0-7817-4433-1</t>
  </si>
  <si>
    <t>0-7817-4433-4</t>
  </si>
  <si>
    <t>Physical Therapist's Clinical Companion</t>
  </si>
  <si>
    <t>978-1-5825-5004-6</t>
  </si>
  <si>
    <t>1-5825-5004-2</t>
  </si>
  <si>
    <t>Springhouse Corporation</t>
  </si>
  <si>
    <t>2000_Edition</t>
  </si>
  <si>
    <t>Physics of Radiation Therapy, The</t>
  </si>
  <si>
    <t>978-0-7817-3065-5</t>
  </si>
  <si>
    <t>0-7817-3065-1</t>
  </si>
  <si>
    <t>Pleural Diseases</t>
  </si>
  <si>
    <t>978-0-7817-6957-0</t>
  </si>
  <si>
    <t>0-7817-6957-4</t>
  </si>
  <si>
    <t>Plumer's Principles &amp; Practice of Intravenous Therapy</t>
  </si>
  <si>
    <t>978-0-7817-5944-1</t>
  </si>
  <si>
    <t>0-7817-5944-7</t>
  </si>
  <si>
    <t>Pocket Guide and Toolkit to DeJong's Neurologic Examination</t>
  </si>
  <si>
    <t>978-0-7817-7359-1</t>
  </si>
  <si>
    <t>0-7817-7359-8</t>
  </si>
  <si>
    <t>Pocket Manual of Differential Diagnosis, A</t>
  </si>
  <si>
    <t>978-0-7817-7871-8</t>
  </si>
  <si>
    <t>0-7817-7871-9</t>
  </si>
  <si>
    <t>Portable Diagnostic Tests</t>
  </si>
  <si>
    <t>978-1-5825-5675-8</t>
  </si>
  <si>
    <t>1-5825-5675-X</t>
  </si>
  <si>
    <t>Portable ECG Interpretation</t>
  </si>
  <si>
    <t>978-1-5825-5677-2</t>
  </si>
  <si>
    <t>1-5825-5677-6</t>
  </si>
  <si>
    <t>Portable Fluids and Electrolytes</t>
  </si>
  <si>
    <t>978-1-5825-5678-9</t>
  </si>
  <si>
    <t>1-5825-5678-4</t>
  </si>
  <si>
    <t>Portable LPN: The All-in-One Reference for Practical Nurses</t>
  </si>
  <si>
    <t>978-1-5825-5581-2</t>
  </si>
  <si>
    <t>1-5825-5581-8</t>
  </si>
  <si>
    <t>Portable Pathophysiology</t>
  </si>
  <si>
    <t>978-1-5825-5455-6</t>
  </si>
  <si>
    <t>1-5825-5455-2</t>
  </si>
  <si>
    <t>Portable RN: The All-in-One Nursing Reference</t>
  </si>
  <si>
    <t>978-1-5825-5933-9</t>
  </si>
  <si>
    <t>1-5825-5933-3</t>
  </si>
  <si>
    <t>Portable Signs and Symptoms</t>
  </si>
  <si>
    <t>978-1-5825-5679-6</t>
  </si>
  <si>
    <t>1-5825-5679-2</t>
  </si>
  <si>
    <t>Postcards of Nursing, A Worldwide Tribute</t>
  </si>
  <si>
    <t>978-0-7817-4050-0</t>
  </si>
  <si>
    <t>0-7817-4050-9</t>
  </si>
  <si>
    <t>Practical Approach to Cardiac Anesthesia, A</t>
  </si>
  <si>
    <t>978-0-7817-9533-3</t>
  </si>
  <si>
    <t>0-7817-9533-8</t>
  </si>
  <si>
    <t>Practical Approach to Pediatric Anesthesia, A</t>
  </si>
  <si>
    <t>978-0-7817-7943-2</t>
  </si>
  <si>
    <t>0-7817-7943-X</t>
  </si>
  <si>
    <t>Practical Approach to Transesophageal Echocardiography, A</t>
  </si>
  <si>
    <t>978-0-7817-7329-4</t>
  </si>
  <si>
    <t>0-7817-7329-6</t>
  </si>
  <si>
    <t>Practical Approaches to Forensic Mental Health Testimony</t>
  </si>
  <si>
    <t>978-0-7817-7213-6</t>
  </si>
  <si>
    <t>0-7817-7213-3</t>
  </si>
  <si>
    <t>Practical Cardiology: Evaluation and Treatment of Common Cardiovascular Disorders</t>
  </si>
  <si>
    <t>978-0-7817-7294-5</t>
  </si>
  <si>
    <t>0-7817-7294-X</t>
  </si>
  <si>
    <t>Practical Clinical Electrophysiology</t>
  </si>
  <si>
    <t>978-0-7817-6603-6</t>
  </si>
  <si>
    <t>0-7817-6603-6</t>
  </si>
  <si>
    <t>Practical Essentials of Intensity Modulated Radiation Therapy</t>
  </si>
  <si>
    <t>978-0-7817-5279-4</t>
  </si>
  <si>
    <t>0-7817-5279-5</t>
  </si>
  <si>
    <t>Practical Guide to Abdominal and Pelvic MRI</t>
  </si>
  <si>
    <t>978-0-7817-4295-5</t>
  </si>
  <si>
    <t>0-7817-4295-1</t>
  </si>
  <si>
    <t>Practical Guide to Cardiac Pacing, A</t>
  </si>
  <si>
    <t>978-0-7817-8881-6</t>
  </si>
  <si>
    <t>0-7817-8881-1</t>
  </si>
  <si>
    <t>Practical Guide to Emergency Ultrasound</t>
  </si>
  <si>
    <t>978-0-7817-7858-9</t>
  </si>
  <si>
    <t>0-7817-7858-1</t>
  </si>
  <si>
    <t>Practical Guide to Joint and Soft Tissue Injection and Aspiration, A</t>
  </si>
  <si>
    <t>978-0-7817-5363-0</t>
  </si>
  <si>
    <t>0-7817-5363-5</t>
  </si>
  <si>
    <t>Practical Guide to Palliative Care, A</t>
  </si>
  <si>
    <t>978-0-7817-6343-1</t>
  </si>
  <si>
    <t>0-7817-6343-6</t>
  </si>
  <si>
    <t>Practical Gynecologic Oncology</t>
  </si>
  <si>
    <t>978-0-7817-5059-2</t>
  </si>
  <si>
    <t>0-7817-5059-8</t>
  </si>
  <si>
    <t>Practical Management of the Dizzy Patient</t>
  </si>
  <si>
    <t>978-0-7817-6562-6</t>
  </si>
  <si>
    <t>0-7817-6562-5</t>
  </si>
  <si>
    <t>Practical Neuroangiography</t>
  </si>
  <si>
    <t>978-0-7817-6515-2</t>
  </si>
  <si>
    <t>0-7817-6515-3</t>
  </si>
  <si>
    <t>Practical Neurology</t>
  </si>
  <si>
    <t>978-0-7817-8483-2</t>
  </si>
  <si>
    <t>0-7817-8483-2</t>
  </si>
  <si>
    <t>Practical Neurology DVD Review</t>
  </si>
  <si>
    <t>978-0-7817-5753-9</t>
  </si>
  <si>
    <t>0-7817-5753-3</t>
  </si>
  <si>
    <t>Practical Orthopaedic Sports Medicine &amp; Arthroscopy</t>
  </si>
  <si>
    <t>978-0-7817-5812-3</t>
  </si>
  <si>
    <t>0-7817-5812-2</t>
  </si>
  <si>
    <t>Practice Guidelines for Obstetrics and Gynecology</t>
  </si>
  <si>
    <t>978-0-7817-3867-5</t>
  </si>
  <si>
    <t>0-7817-3867-9</t>
  </si>
  <si>
    <t>Practice of Pediatric Orthopedics</t>
  </si>
  <si>
    <t>978-1-5825-5818-9</t>
  </si>
  <si>
    <t>1-5825-5818-3</t>
  </si>
  <si>
    <t>Preoperative Assessment and Management</t>
  </si>
  <si>
    <t>978-0-7817-7498-7</t>
  </si>
  <si>
    <t>0-7817-7498-5</t>
  </si>
  <si>
    <t>Primary Care</t>
  </si>
  <si>
    <t>978-0-7817-1041-1</t>
  </si>
  <si>
    <t>0-7817-1041-3</t>
  </si>
  <si>
    <t>Primary Care Medicine Recommendations</t>
  </si>
  <si>
    <t>978-0-7817-3352-6</t>
  </si>
  <si>
    <t>0-7817-3352-9</t>
  </si>
  <si>
    <t>Primary Care Pediatrics</t>
  </si>
  <si>
    <t>978-0-7817-2008-3</t>
  </si>
  <si>
    <t>0-7817-2008-7</t>
  </si>
  <si>
    <t>Primo Gastro: The Pocket GI/Liver Companion</t>
  </si>
  <si>
    <t>978-0-7817-7944-9</t>
  </si>
  <si>
    <t>0-7817-7944-8</t>
  </si>
  <si>
    <t>Principles &amp; Practice of Emergency Medicine</t>
  </si>
  <si>
    <t>978-0-6830-7646-2</t>
  </si>
  <si>
    <t>0-6830-7646-9</t>
  </si>
  <si>
    <t>Principles &amp; Practice of Palliative Care &amp; Supportive Oncology</t>
  </si>
  <si>
    <t>978-0-7817-9595-1</t>
  </si>
  <si>
    <t>0-7817-9595-8</t>
  </si>
  <si>
    <t>Principles &amp; Practice of Radiation Oncology</t>
  </si>
  <si>
    <t>978-0-7817-3525-4</t>
  </si>
  <si>
    <t>0-7817-3525-4</t>
  </si>
  <si>
    <t>Principles and Practice of Endocrinology &amp; Metabolism</t>
  </si>
  <si>
    <t>978-0-7817-1750-2</t>
  </si>
  <si>
    <t>0-7817-1750-7</t>
  </si>
  <si>
    <t>Principles and Practice of Gastrointestinal Oncology</t>
  </si>
  <si>
    <t>978-0-7817-7617-2</t>
  </si>
  <si>
    <t>0-7817-7617-1</t>
  </si>
  <si>
    <t>Principles and Practice of Geriatric Psychiatry</t>
  </si>
  <si>
    <t>978-0-7817-4810-0</t>
  </si>
  <si>
    <t>0-7817-4810-0</t>
  </si>
  <si>
    <t>Principles and Practice of Gynecologic Oncology</t>
  </si>
  <si>
    <t>978-0-7817-4689-2</t>
  </si>
  <si>
    <t>0-7817-4689-2</t>
  </si>
  <si>
    <t>Principles and Practice of Pediatric Oncology</t>
  </si>
  <si>
    <t>978-0-7817-5492-7</t>
  </si>
  <si>
    <t>0-7817-5492-5</t>
  </si>
  <si>
    <t>Principles and Practice of Pediatric Surgery</t>
  </si>
  <si>
    <t>978-0-7817-4290-0</t>
  </si>
  <si>
    <t>0-7817-4290-0</t>
  </si>
  <si>
    <t>Principles and Practice of Psychopharmacotherapy</t>
  </si>
  <si>
    <t>978-0-7817-6057-7</t>
  </si>
  <si>
    <t>0-7817-6057-7</t>
  </si>
  <si>
    <t>Principles and Practice of the Biologic Therapy of Cancer</t>
  </si>
  <si>
    <t>978-0-7817-2272-8</t>
  </si>
  <si>
    <t>0-7817-2272-1</t>
  </si>
  <si>
    <t>Principles of Ambulatory Medicine</t>
  </si>
  <si>
    <t>978-0-7817-6227-4</t>
  </si>
  <si>
    <t>0-7817-6227-8</t>
  </si>
  <si>
    <t>Principles of Manual Sports Medicine</t>
  </si>
  <si>
    <t>978-0-7817-4189-7</t>
  </si>
  <si>
    <t>0-7817-4189-0</t>
  </si>
  <si>
    <t>Procedures, Techniques, and Minimally Invasive Monitoring in Intensive Care Medicine</t>
  </si>
  <si>
    <t>978-0-7817-7862-6</t>
  </si>
  <si>
    <t>0-7817-7862-X</t>
  </si>
  <si>
    <t>Professional Guide to Assessment</t>
  </si>
  <si>
    <t>978-1-5825-5403-7</t>
  </si>
  <si>
    <t>1-5825-5403-X</t>
  </si>
  <si>
    <t>Professional Guide to Diagnostic Tests</t>
  </si>
  <si>
    <t>978-1-5825-5304-7</t>
  </si>
  <si>
    <t>1-5825-5304-1</t>
  </si>
  <si>
    <t>Professional Guide to Diseases</t>
  </si>
  <si>
    <t>978-0-7817-7899-2</t>
  </si>
  <si>
    <t>0-7817-7899-9</t>
  </si>
  <si>
    <t>Professional Guide to Pathophysiology</t>
  </si>
  <si>
    <t>978-1-5825-5728-1</t>
  </si>
  <si>
    <t>1-5825-5728-4</t>
  </si>
  <si>
    <t>Professional Guide to Signs and Symptoms</t>
  </si>
  <si>
    <t>978-1-5825-5510-2</t>
  </si>
  <si>
    <t>1-5825-5510-9</t>
  </si>
  <si>
    <t>Professional's Handbook of Complementary &amp; Alternative Medicines</t>
  </si>
  <si>
    <t>978-1-5825-5243-9</t>
  </si>
  <si>
    <t>1-5825-5243-6</t>
  </si>
  <si>
    <t>Prostate Cancer: Principles &amp; Practice</t>
  </si>
  <si>
    <t>978-0-7817-2006-9</t>
  </si>
  <si>
    <t>0-7817-2006-0</t>
  </si>
  <si>
    <t>Proton and Charged Particle Radiotherapy</t>
  </si>
  <si>
    <t>978-0-7817-6552-7</t>
  </si>
  <si>
    <t>0-7817-6552-8</t>
  </si>
  <si>
    <t>Psychiatric Aspects of HIV/AIDS</t>
  </si>
  <si>
    <t>978-1-5825-5713-7</t>
  </si>
  <si>
    <t>1-5825-5713-6</t>
  </si>
  <si>
    <t>Psychiatric Interview, The: Practical Guides in Psychiatry</t>
  </si>
  <si>
    <t>978-0-7817-5186-5</t>
  </si>
  <si>
    <t>0-7817-5186-1</t>
  </si>
  <si>
    <t>Psychiatric Issues in Epilepsy: A Practical Guide to Diagnosis and Treatment</t>
  </si>
  <si>
    <t>978-0-7817-8591-4</t>
  </si>
  <si>
    <t>0-7817-8591-X</t>
  </si>
  <si>
    <t>Psychiatric Medicine: The Psychiatrist's Guide to the Treatment of Common Medical Illnesses</t>
  </si>
  <si>
    <t>978-0-7817-8408-5</t>
  </si>
  <si>
    <t>0-7817-8408-5</t>
  </si>
  <si>
    <t>Psychiatric Nursing Made Incredibly Easy!</t>
  </si>
  <si>
    <t>978-1-5825-5270-5</t>
  </si>
  <si>
    <t>1-5825-5270-3</t>
  </si>
  <si>
    <t>Psychiatry</t>
  </si>
  <si>
    <t>978-0-7817-7452-9</t>
  </si>
  <si>
    <t>0-7817-7452-7</t>
  </si>
  <si>
    <t>Psychiatry for the Boards</t>
  </si>
  <si>
    <t>978-0-7817-7482-6</t>
  </si>
  <si>
    <t>0-7817-7482-9</t>
  </si>
  <si>
    <t>Psychiatry: 1,200 Questions to Help You Pass the Boards</t>
  </si>
  <si>
    <t>978-0-7817-6106-2</t>
  </si>
  <si>
    <t>0-7817-6106-9</t>
  </si>
  <si>
    <t>Psychodynamic Theory for Clinicians</t>
  </si>
  <si>
    <t>978-0-7817-9949-2</t>
  </si>
  <si>
    <t>0-7817-9949-X</t>
  </si>
  <si>
    <t>Psychogenic Movement Disorders Neurology and Neuropsychiatry</t>
  </si>
  <si>
    <t>978-0-7817-9627-9</t>
  </si>
  <si>
    <t>0-7817-9627-X</t>
  </si>
  <si>
    <t>Psychological Aspects of Reconstructive and Cosmetic Plastic Surgery: Clinical, Empirical, and Ethical Perspectives</t>
  </si>
  <si>
    <t>978-0-7817-5362-3</t>
  </si>
  <si>
    <t>0-7817-5362-7</t>
  </si>
  <si>
    <t>Psychosomatic Medicine</t>
  </si>
  <si>
    <t>978-0-7817-6046-1</t>
  </si>
  <si>
    <t>0-7817-6046-1</t>
  </si>
  <si>
    <t>Psychotic Disorders: A Practical Guide</t>
  </si>
  <si>
    <t>978-0-7817-8543-3</t>
  </si>
  <si>
    <t>0-7817-8543-X</t>
  </si>
  <si>
    <t>Publishing and Presenting Clinical Research</t>
  </si>
  <si>
    <t>978-0-7817-9506-7</t>
  </si>
  <si>
    <t>0-7817-9506-0</t>
  </si>
  <si>
    <t>Quick and Accurate 12-Lead ECG Interpretation</t>
  </si>
  <si>
    <t>978-1-5825-5379-5</t>
  </si>
  <si>
    <t>1-5825-5379-3</t>
  </si>
  <si>
    <t>Quick Reference to Critical Care</t>
  </si>
  <si>
    <t>978-0-7817-7714-8</t>
  </si>
  <si>
    <t>0-7817-7714-3</t>
  </si>
  <si>
    <t>Radiation Oncology: Management Decisions</t>
  </si>
  <si>
    <t>978-0-7817-3222-2</t>
  </si>
  <si>
    <t>0-7817-3222-0</t>
  </si>
  <si>
    <t>Radiobiology for the Radiologist</t>
  </si>
  <si>
    <t>978-0-7817-4151-4</t>
  </si>
  <si>
    <t>0-7817-4151-3</t>
  </si>
  <si>
    <t>Radiology 101: The Basics and Fundamentals of Imaging</t>
  </si>
  <si>
    <t>978-0-7817-5198-8</t>
  </si>
  <si>
    <t>0-7817-5198-5</t>
  </si>
  <si>
    <t>Radiology Review Manual</t>
  </si>
  <si>
    <t>978-0-7817-6620-3</t>
  </si>
  <si>
    <t>0-7817-6620-6</t>
  </si>
  <si>
    <t>Radiotherapy for Head and Neck Cancers: Indications and Techniques</t>
  </si>
  <si>
    <t>978-0-7817-6093-5</t>
  </si>
  <si>
    <t>0-7817-6093-3</t>
  </si>
  <si>
    <t>Rang's Children's Fractures</t>
  </si>
  <si>
    <t>978-0-7817-5286-2</t>
  </si>
  <si>
    <t>0-7817-5286-8</t>
  </si>
  <si>
    <t>Rapid Assessment, A Flowchart Guide to Evaluating Signs &amp; Symptoms</t>
  </si>
  <si>
    <t>978-1-5825-5272-9</t>
  </si>
  <si>
    <t>1-5825-5272-X</t>
  </si>
  <si>
    <t>Rapid Response to Everyday Emergencies: A Nurse's Guide</t>
  </si>
  <si>
    <t>978-1-5825-5430-3</t>
  </si>
  <si>
    <t>1-5825-5430-7</t>
  </si>
  <si>
    <t>Reese &amp; Betts': A Practical Approach to Infectious Diseases</t>
  </si>
  <si>
    <t>978-0-7817-3281-9</t>
  </si>
  <si>
    <t>0-7817-3281-6</t>
  </si>
  <si>
    <t>Rehabilitation of the Spine: A Practitioner's Manual</t>
  </si>
  <si>
    <t>978-0-7817-2997-0</t>
  </si>
  <si>
    <t>0-7817-2997-1</t>
  </si>
  <si>
    <t>Reichel's Care of the Elderly: Clinical Aspects of Aging</t>
  </si>
  <si>
    <t>978-0-6833-0169-4</t>
  </si>
  <si>
    <t>0-6833-0169-1</t>
  </si>
  <si>
    <t>Reoperative Plastic Surgery of the Breast</t>
  </si>
  <si>
    <t>978-0-7817-2237-7</t>
  </si>
  <si>
    <t>0-7817-2237-3</t>
  </si>
  <si>
    <t>Resolving Ethical Dilemmas: A Guide for Clinicians</t>
  </si>
  <si>
    <t>978-0-7817-5357-9</t>
  </si>
  <si>
    <t>0-7817-5357-0</t>
  </si>
  <si>
    <t>Respiratory Care Made Incredibly Easy!</t>
  </si>
  <si>
    <t>978-1-5825-5335-1</t>
  </si>
  <si>
    <t>1-5825-5335-1</t>
  </si>
  <si>
    <t>Review Questions in Ophthalmology: A Question and Answer Book</t>
  </si>
  <si>
    <t>978-0-7817-5203-9</t>
  </si>
  <si>
    <t>0-7817-5203-5</t>
  </si>
  <si>
    <t>Rheumatoid Arthritis</t>
  </si>
  <si>
    <t>978-0-7817-4149-1</t>
  </si>
  <si>
    <t>0-7817-4149-1</t>
  </si>
  <si>
    <t>RN Expert Guides: Cardiovascular Care</t>
  </si>
  <si>
    <t>978-1-5825-5704-5</t>
  </si>
  <si>
    <t>1-5825-5704-7</t>
  </si>
  <si>
    <t>RN Expert Guides: Neurologic Care</t>
  </si>
  <si>
    <t>978-1-5825-5706-9</t>
  </si>
  <si>
    <t>1-5825-5706-3</t>
  </si>
  <si>
    <t>RN Expert Guides: Respiratory Care</t>
  </si>
  <si>
    <t>978-1-5825-5707-6</t>
  </si>
  <si>
    <t>1-5825-5707-1</t>
  </si>
  <si>
    <t>Rockwood &amp; Green's Fractures in Adults</t>
  </si>
  <si>
    <t>978-0-7817-4636-6</t>
  </si>
  <si>
    <t>0-7817-4636-1</t>
  </si>
  <si>
    <t>Rockwood &amp; Wilkins' Fractures in Children</t>
  </si>
  <si>
    <t>978-0-7817-5769-0</t>
  </si>
  <si>
    <t>0-7817-5769-X</t>
  </si>
  <si>
    <t>Rosen &amp; Barkin's 5-Minute Emergency Medicine Consult</t>
  </si>
  <si>
    <t>978-0-7817-7172-6</t>
  </si>
  <si>
    <t>0-7817-7172-2</t>
  </si>
  <si>
    <t>Rosen's Breast Pathology</t>
  </si>
  <si>
    <t>978-0-7817-2379-4</t>
  </si>
  <si>
    <t>0-7817-2379-5</t>
  </si>
  <si>
    <t>978-0-7817-7137-5</t>
  </si>
  <si>
    <t>0-7817-7137-4</t>
  </si>
  <si>
    <t>Samter's Immunologic Diseases</t>
  </si>
  <si>
    <t>978-0-7817-2120-2</t>
  </si>
  <si>
    <t>0-7817-2120-2</t>
  </si>
  <si>
    <t>Sapira's Art and Science of Bedside Diagnosis</t>
  </si>
  <si>
    <t>978-0-7817-5731-7</t>
  </si>
  <si>
    <t>0-7817-5731-2</t>
  </si>
  <si>
    <t>Sauer's Manual of Skin Diseases</t>
  </si>
  <si>
    <t>978-0-7817-2947-5</t>
  </si>
  <si>
    <t>0-7817-2947-5</t>
  </si>
  <si>
    <t>SCAI Interventional Cardiology Board Review Book</t>
  </si>
  <si>
    <t>978-0-7817-6197-0</t>
  </si>
  <si>
    <t>0-7817-6197-2</t>
  </si>
  <si>
    <t>Schiff's Diseases of the Liver</t>
  </si>
  <si>
    <t>978-0-7817-6040-9</t>
  </si>
  <si>
    <t>0-7817-6040-2</t>
  </si>
  <si>
    <t>Short Stay Management of Heart Failure</t>
  </si>
  <si>
    <t>978-0-7817-6645-6</t>
  </si>
  <si>
    <t>0-7817-6645-1</t>
  </si>
  <si>
    <t>Shoulder and Elbow Arthroplasty</t>
  </si>
  <si>
    <t>978-0-7817-3853-8</t>
  </si>
  <si>
    <t>0-7817-3853-9</t>
  </si>
  <si>
    <t>Shoulder and the Overhead Athlete, The</t>
  </si>
  <si>
    <t>978-0-7817-4614-4</t>
  </si>
  <si>
    <t>0-7817-4614-0</t>
  </si>
  <si>
    <t>Shoulder Arthroscopy</t>
  </si>
  <si>
    <t>978-0-7817-3501-8</t>
  </si>
  <si>
    <t>0-7817-3501-7</t>
  </si>
  <si>
    <t>Sidney Kimmel Comprehensive Cancer Center at Johns Hopkins, The: Manual of Cancer Nursing</t>
  </si>
  <si>
    <t>978-0-7817-4496-6</t>
  </si>
  <si>
    <t>0-7817-4496-2</t>
  </si>
  <si>
    <t>Signs and Symptoms: A 2-in-1 Reference for Nurses</t>
  </si>
  <si>
    <t>978-1-5825-5318-4</t>
  </si>
  <si>
    <t>1-5825-5318-1</t>
  </si>
  <si>
    <t>Skillmaster's Wound Care</t>
  </si>
  <si>
    <t>978-1-5825-5509-6</t>
  </si>
  <si>
    <t>1-5825-5509-5</t>
  </si>
  <si>
    <t>SkillMasters: 3-Minute Assessment</t>
  </si>
  <si>
    <t>978-1-5825-5864-6</t>
  </si>
  <si>
    <t>1-5825-5864-7</t>
  </si>
  <si>
    <t>SkillMasters: Better Documentation</t>
  </si>
  <si>
    <t>978-1-5825-5177-7</t>
  </si>
  <si>
    <t>1-5825-5177-4</t>
  </si>
  <si>
    <t>SkillMasters: Expert ECG Interpretation</t>
  </si>
  <si>
    <t>978-1-5825-5500-3</t>
  </si>
  <si>
    <t>1-5825-5500-1</t>
  </si>
  <si>
    <t>Smolin and Thoft's The Cornea: Scientific Foundations and Clinical Practice</t>
  </si>
  <si>
    <t>978-0-7817-4206-1</t>
  </si>
  <si>
    <t>0-7817-4206-4</t>
  </si>
  <si>
    <t>Spinal Trauma: Imaging, Diagnosis, and Management</t>
  </si>
  <si>
    <t>978-0-7817-6248-9</t>
  </si>
  <si>
    <t>0-7817-6248-0</t>
  </si>
  <si>
    <t>Spine</t>
  </si>
  <si>
    <t>978-0-7817-4613-7</t>
  </si>
  <si>
    <t>0-7817-4613-2</t>
  </si>
  <si>
    <t>Spondylolysis, Spondylolisthesis, and Degenerative Spondylolisthesis</t>
  </si>
  <si>
    <t>978-0-7817-7633-2</t>
  </si>
  <si>
    <t>0-7817-7633-3</t>
  </si>
  <si>
    <t>Sports Injuries: Mechanisms, Prevention, Treatment</t>
  </si>
  <si>
    <t>978-0-6833-0477-0</t>
  </si>
  <si>
    <t>0-6833-0477-1</t>
  </si>
  <si>
    <t>Sports Medicine</t>
  </si>
  <si>
    <t>978-0-7817-5653-2</t>
  </si>
  <si>
    <t>0-7817-5653-7</t>
  </si>
  <si>
    <t>Springhouse Review for Critical Care Nursing Certification</t>
  </si>
  <si>
    <t>978-1-5825-5506-5</t>
  </si>
  <si>
    <t>1-5825-5506-0</t>
  </si>
  <si>
    <t>Springhouse Review for Medical-Surgical Nursing Certification</t>
  </si>
  <si>
    <t>978-1-5825-5507-2</t>
  </si>
  <si>
    <t>1-5825-5507-9</t>
  </si>
  <si>
    <t>Springhouse Review for Psychiatric and Mental Health Nursing Certification</t>
  </si>
  <si>
    <t>978-1-5825-5173-9</t>
  </si>
  <si>
    <t>1-5825-5173-1</t>
  </si>
  <si>
    <t>Staying Out of Trouble in Pediatric Orthopaedics</t>
  </si>
  <si>
    <t>978-0-7817-5335-7</t>
  </si>
  <si>
    <t>0-7817-5335-X</t>
  </si>
  <si>
    <t>Stereotactic Body Radiation Therapy</t>
  </si>
  <si>
    <t>978-0-7817-5420-0</t>
  </si>
  <si>
    <t>0-7817-5420-8</t>
  </si>
  <si>
    <t>Sternberg's Diagnostic Surgical Pathology</t>
  </si>
  <si>
    <t>978-0-7817-4051-7</t>
  </si>
  <si>
    <t>0-7817-4051-7</t>
  </si>
  <si>
    <t>Sternberg's Diagnostic Surgical Pathology Review</t>
  </si>
  <si>
    <t>978-0-7817-4052-4</t>
  </si>
  <si>
    <t>0-7817-4052-5</t>
  </si>
  <si>
    <t>Straight A's in Anatomy and Physiology</t>
  </si>
  <si>
    <t>978-1-5825-5562-1</t>
  </si>
  <si>
    <t>1-5825-5562-1</t>
  </si>
  <si>
    <t>Straight A's in Fluids and Electrolytes</t>
  </si>
  <si>
    <t>978-1-5825-5659-8</t>
  </si>
  <si>
    <t>1-5825-5659-8</t>
  </si>
  <si>
    <t>Straight A's in Maternal-Neonatal Nursing</t>
  </si>
  <si>
    <t>978-1-5825-5693-2</t>
  </si>
  <si>
    <t>1-5825-5693-8</t>
  </si>
  <si>
    <t>Straight A's in Medical-Surgical Nursing</t>
  </si>
  <si>
    <t>978-1-5825-5694-9</t>
  </si>
  <si>
    <t>1-5825-5694-6</t>
  </si>
  <si>
    <t>Straight A's in Nursing Pharmacology</t>
  </si>
  <si>
    <t>978-1-5825-5696-3</t>
  </si>
  <si>
    <t>1-5825-5696-2</t>
  </si>
  <si>
    <t>Straight A's in Pathophysiology</t>
  </si>
  <si>
    <t>978-1-5825-5449-5</t>
  </si>
  <si>
    <t>1-5825-5449-8</t>
  </si>
  <si>
    <t>Straight A's in Pediatric Nursing</t>
  </si>
  <si>
    <t>978-1-5825-5697-0</t>
  </si>
  <si>
    <t>1-5825-5697-0</t>
  </si>
  <si>
    <t>Straight A's in Psychiatric and Mental Health Nursing</t>
  </si>
  <si>
    <t>978-1-5825-5448-8</t>
  </si>
  <si>
    <t>1-5825-5448-X</t>
  </si>
  <si>
    <t>Strategic Approaches in Coronary Intervention</t>
  </si>
  <si>
    <t>978-0-7817-4294-8</t>
  </si>
  <si>
    <t>0-7817-4294-3</t>
  </si>
  <si>
    <t>Strategies for Managing Multisystem Disorders</t>
  </si>
  <si>
    <t>978-1-5825-5423-5</t>
  </si>
  <si>
    <t>1-5825-5423-4</t>
  </si>
  <si>
    <t>Studying a Study &amp; Testing a Test: How to Read the Medical Evidence</t>
  </si>
  <si>
    <t>978-0-7817-4576-5</t>
  </si>
  <si>
    <t>0-7817-4576-4</t>
  </si>
  <si>
    <t>Substance Abuse</t>
  </si>
  <si>
    <t>978-0-7817-3474-5</t>
  </si>
  <si>
    <t>0-7817-3474-6</t>
  </si>
  <si>
    <t>Substance Abuse Handbook, The</t>
  </si>
  <si>
    <t>978-0-7817-6045-4</t>
  </si>
  <si>
    <t>0-7817-6045-3</t>
  </si>
  <si>
    <t>Substance Use Disorders: A Practical Guide</t>
  </si>
  <si>
    <t>978-0-7817-6998-3</t>
  </si>
  <si>
    <t>0-7817-6998-1</t>
  </si>
  <si>
    <t>Surgery of the Breast: Principles and Art</t>
  </si>
  <si>
    <t>978-0-7817-4756-1</t>
  </si>
  <si>
    <t>0-7817-4756-2</t>
  </si>
  <si>
    <t>Surgery of the Ear and Temporal Bone</t>
  </si>
  <si>
    <t>978-0-7817-2046-5</t>
  </si>
  <si>
    <t>0-7817-2046-X</t>
  </si>
  <si>
    <t>Surgical Anatomy Around the Orbit: The System of Zones</t>
  </si>
  <si>
    <t>978-0-7817-5081-3</t>
  </si>
  <si>
    <t>0-7817-5081-4</t>
  </si>
  <si>
    <t>Surgical Anatomy of the Face</t>
  </si>
  <si>
    <t>978-0-7817-4150-7</t>
  </si>
  <si>
    <t>0-7817-4150-5</t>
  </si>
  <si>
    <t>Surgical Anatomy of the Hand and Upper Extremity</t>
  </si>
  <si>
    <t>978-0-3975-1725-1</t>
  </si>
  <si>
    <t>0-3975-1725-4</t>
  </si>
  <si>
    <t>Surgical Approaches to the Facial Skeleton</t>
  </si>
  <si>
    <t>978-0-7817-5499-6</t>
  </si>
  <si>
    <t>0-7817-5499-2</t>
  </si>
  <si>
    <t>Surgical Attending Rounds</t>
  </si>
  <si>
    <t>978-0-7817-5046-2</t>
  </si>
  <si>
    <t>0-7817-5046-6</t>
  </si>
  <si>
    <t>Surgical Care Made Incredibly Visual!</t>
  </si>
  <si>
    <t>978-1-5825-5946-9</t>
  </si>
  <si>
    <t>1-5825-5946-5</t>
  </si>
  <si>
    <t>Surgical Exposures in Orthopaedics: The Anatomic Approach</t>
  </si>
  <si>
    <t>978-0-7817-4228-3</t>
  </si>
  <si>
    <t>0-7817-4228-5</t>
  </si>
  <si>
    <t>Surgical Review An Integrated Basic and Clinical Science Study Guide, The</t>
  </si>
  <si>
    <t>978-0-7817-5641-9</t>
  </si>
  <si>
    <t>0-7817-5641-3</t>
  </si>
  <si>
    <t>Surgical Techniques in Sports Medicine</t>
  </si>
  <si>
    <t>978-0-7817-5427-9</t>
  </si>
  <si>
    <t>0-7817-5427-5</t>
  </si>
  <si>
    <t>Tactical Emergency Medicine</t>
  </si>
  <si>
    <t>978-0-7817-7332-4</t>
  </si>
  <si>
    <t>0-7817-7332-6</t>
  </si>
  <si>
    <t>Taylor's 10-Minute Diagnosis Manual: Symptoms and Signs in the Time-Limited Encounter</t>
  </si>
  <si>
    <t>978-0-7817-6944-0</t>
  </si>
  <si>
    <t>0-7817-6944-2</t>
  </si>
  <si>
    <t>Taylor's Manual of Family Medicine</t>
  </si>
  <si>
    <t>978-0-7817-6654-8</t>
  </si>
  <si>
    <t>0-7817-6654-0</t>
  </si>
  <si>
    <t>Te Linde's Operative Gynecology</t>
  </si>
  <si>
    <t>978-0-7817-7234-1</t>
  </si>
  <si>
    <t>0-7817-7234-6</t>
  </si>
  <si>
    <t>978-0-7817-2859-1</t>
  </si>
  <si>
    <t>0-7817-2859-2</t>
  </si>
  <si>
    <t>Techniques in Cosmetic Eyelid Surgery: A Case Study Approach</t>
  </si>
  <si>
    <t>978-0-7817-4466-9</t>
  </si>
  <si>
    <t>0-7817-4466-0</t>
  </si>
  <si>
    <t>Telephone Triage for Obstetrics and Gynecology</t>
  </si>
  <si>
    <t>978-0-7817-3615-2</t>
  </si>
  <si>
    <t>0-7817-3615-3</t>
  </si>
  <si>
    <t>Telephone Triage Protocols for Nurses</t>
  </si>
  <si>
    <t>978-0-7817-6461-2</t>
  </si>
  <si>
    <t>0-7817-6461-0</t>
  </si>
  <si>
    <t>Ten Years of Images from Circulation: Journal of the American Heart Association</t>
  </si>
  <si>
    <t>978-0-7817-6706-4</t>
  </si>
  <si>
    <t>0-7817-6706-7</t>
  </si>
  <si>
    <t>Textbook of Cardiovascular Medicine</t>
  </si>
  <si>
    <t>978-0-7817-7012-5</t>
  </si>
  <si>
    <t>0-7817-7012-2</t>
  </si>
  <si>
    <t>Textbook of Emergency Cardiovascular Care and CPR, The</t>
  </si>
  <si>
    <t>978-0-7817-8899-1</t>
  </si>
  <si>
    <t>0-7817-8899-4</t>
  </si>
  <si>
    <t>Therapeutic Nutrition: A Guide to Patient Education</t>
  </si>
  <si>
    <t>978-1-5825-5380-1</t>
  </si>
  <si>
    <t>1-5825-5380-7</t>
  </si>
  <si>
    <t>Thoracic Imaging: Pulmonary and Cardiovascular Radiology</t>
  </si>
  <si>
    <t>978-0-7817-4119-4</t>
  </si>
  <si>
    <t>0-7817-4119-X</t>
  </si>
  <si>
    <t>Tourette Syndrome</t>
  </si>
  <si>
    <t>978-0-7817-9970-6</t>
  </si>
  <si>
    <t>0-7817-9970-8</t>
  </si>
  <si>
    <t>Transbronchial and Endobronchial Biopsies</t>
  </si>
  <si>
    <t>978-0-7817-8517-4</t>
  </si>
  <si>
    <t>0-7817-8517-0</t>
  </si>
  <si>
    <t>Trauma</t>
  </si>
  <si>
    <t>978-0-7817-5096-7</t>
  </si>
  <si>
    <t>0-7817-5096-2</t>
  </si>
  <si>
    <t>Trauma Handbook of the Massachusetts General Hospital, The</t>
  </si>
  <si>
    <t>978-0-7817-4596-3</t>
  </si>
  <si>
    <t>0-7817-4596-9</t>
  </si>
  <si>
    <t>Trauma Manual</t>
  </si>
  <si>
    <t>978-0-7817-2641-2</t>
  </si>
  <si>
    <t>0-7817-2641-7</t>
  </si>
  <si>
    <t>Trauma Manual, The: Trauma and Acute Care Surgery</t>
  </si>
  <si>
    <t>978-0-7817-6275-5</t>
  </si>
  <si>
    <t>0-7817-6275-8</t>
  </si>
  <si>
    <t>Trauma Rehabilitation</t>
  </si>
  <si>
    <t>978-0-7817-6284-7</t>
  </si>
  <si>
    <t>0-7817-6284-7</t>
  </si>
  <si>
    <t>Trauma: Contemporary Principles and Therapy</t>
  </si>
  <si>
    <t>978-0-7817-5650-1</t>
  </si>
  <si>
    <t>0-7817-5650-2</t>
  </si>
  <si>
    <t>Treatment of Epilepsy, The</t>
  </si>
  <si>
    <t>978-0-7817-4995-4</t>
  </si>
  <si>
    <t>0-7817-4995-6</t>
  </si>
  <si>
    <t>Treatment Planning in Radiation Oncology</t>
  </si>
  <si>
    <t>978-0-7817-8541-9</t>
  </si>
  <si>
    <t>0-7817-8541-3</t>
  </si>
  <si>
    <t>Turek's Orthopaedics: Principles and Their Application</t>
  </si>
  <si>
    <t>978-0-7817-4298-6</t>
  </si>
  <si>
    <t>0-7817-4298-6</t>
  </si>
  <si>
    <t>Ultimate Echo Guide, The</t>
  </si>
  <si>
    <t>978-0-7817-4749-3</t>
  </si>
  <si>
    <t>0-7817-4749-X</t>
  </si>
  <si>
    <t>Ultrasonography of the Eye and Orbit</t>
  </si>
  <si>
    <t>978-0-7817-4650-2</t>
  </si>
  <si>
    <t>0-7817-4650-7</t>
  </si>
  <si>
    <t>Urologic Pathology</t>
  </si>
  <si>
    <t>978-0-7817-5343-2</t>
  </si>
  <si>
    <t>0-7817-5343-0</t>
  </si>
  <si>
    <t>Urology</t>
  </si>
  <si>
    <t>978-0-7817-9933-1</t>
  </si>
  <si>
    <t>0-7817-9933-3</t>
  </si>
  <si>
    <t>Vertebral Tumors</t>
  </si>
  <si>
    <t>978-0-7817-8867-0</t>
  </si>
  <si>
    <t>0-7817-8867-6</t>
  </si>
  <si>
    <t>Virtual Colonoscopy</t>
  </si>
  <si>
    <t>978-0-7817-5770-6</t>
  </si>
  <si>
    <t>0-7817-5770-3</t>
  </si>
  <si>
    <t>Visual Development, Diagnosis, and Treatment of the Pediatric Patient</t>
  </si>
  <si>
    <t>978-0-7817-5288-6</t>
  </si>
  <si>
    <t>0-7817-5288-4</t>
  </si>
  <si>
    <t>Visual Diagnosis in Pediatrics</t>
  </si>
  <si>
    <t>987-0-7817-5652-5</t>
  </si>
  <si>
    <t/>
  </si>
  <si>
    <t>Vitreous Microsurgery</t>
  </si>
  <si>
    <t>978-0-7817-6443-8</t>
  </si>
  <si>
    <t>0-7817-6443-2</t>
  </si>
  <si>
    <t>Walsh &amp; Hoyt's Clinical Neuro-Ophthalmology</t>
  </si>
  <si>
    <t>978-0-7817-4814-8</t>
  </si>
  <si>
    <t>0-7817-4814-3</t>
  </si>
  <si>
    <t>Washington Manual of Oncology</t>
  </si>
  <si>
    <t>978-0-7817-3030-3</t>
  </si>
  <si>
    <t>0-7817-3030-9</t>
  </si>
  <si>
    <t>Department of Medicine, Washington University, School of Medicine.  Published by Lippincott Williams &amp; Wilkins</t>
  </si>
  <si>
    <t>Washington Manual of Oncology, The</t>
  </si>
  <si>
    <t>978-0-7817-8402-3</t>
  </si>
  <si>
    <t>0-7817-8402-6</t>
  </si>
  <si>
    <t>Washington Manual of Surgery</t>
  </si>
  <si>
    <t>978-0-7817-5048-6</t>
  </si>
  <si>
    <t>0-7817-5048-2</t>
  </si>
  <si>
    <t>Department of Surgery, Washington University School of Medicine. Published by Lippincott Williams &amp; Wilkins</t>
  </si>
  <si>
    <t>Washington Manual of Surgery,The</t>
  </si>
  <si>
    <t>978-0-7817-7447-5</t>
  </si>
  <si>
    <t>0-7817-7447-0</t>
  </si>
  <si>
    <t>Washington Manual of Surgical Pathology, The</t>
  </si>
  <si>
    <t>978-0-7817-6527-5</t>
  </si>
  <si>
    <t>0-7817-6527-7</t>
  </si>
  <si>
    <t>Washington Manual® Pulmonary Medicine Subspecialty Consult, The</t>
  </si>
  <si>
    <t>978-0-7817-4376-1</t>
  </si>
  <si>
    <t>0-7817-4376-1</t>
  </si>
  <si>
    <t>Weiner &amp; Levitt's Neurology</t>
  </si>
  <si>
    <t>978-0-7817-8154-1</t>
  </si>
  <si>
    <t>0-7817-8154-X</t>
  </si>
  <si>
    <t>Weiner &amp; Levitt's Pediatric Neurology</t>
  </si>
  <si>
    <t>978-0-7817-2931-4</t>
  </si>
  <si>
    <t>0-7817-2931-9</t>
  </si>
  <si>
    <t>Werner &amp; Ingbar's The Thyroid: A Fundamental &amp; Clinical Text</t>
  </si>
  <si>
    <t>978-0-7817-5047-9</t>
  </si>
  <si>
    <t>0-7817-5047-4</t>
  </si>
  <si>
    <t>What to Order When: Pocket Guide to Diagnostic Imaging</t>
  </si>
  <si>
    <t>978-0-7817-2194-3</t>
  </si>
  <si>
    <t>0-7817-2194-6</t>
  </si>
  <si>
    <t>Wills Eye Hospital Atlas of Clinical Ophthalmology , The</t>
  </si>
  <si>
    <t>978-0-7817-2774-7</t>
  </si>
  <si>
    <t>0-7817-2774-X</t>
  </si>
  <si>
    <t>Wills Eye Manual, The: Office and Emergency Room Diagnosis and Treatment of Eye Disease</t>
  </si>
  <si>
    <t>978-0-7817-6962-4</t>
  </si>
  <si>
    <t>0-7817-6962-0</t>
  </si>
  <si>
    <t>Wills Eye Manual: Office and Emergency Room Diagnosis &amp; Treatment of Eye Disease</t>
  </si>
  <si>
    <t>978-0-7817-4207-8</t>
  </si>
  <si>
    <t>0-7817-4207-2</t>
  </si>
  <si>
    <t>Winston &amp; Kuhn's Herbal Therapy and Supplements: A Scientific and Traditional Approach</t>
  </si>
  <si>
    <t>978-1-5825-5462-4</t>
  </si>
  <si>
    <t>1-5825-5462-5</t>
  </si>
  <si>
    <t>Wintrobe's Atlas of Clinical Hematology</t>
  </si>
  <si>
    <t>978-0-7817-7023-1</t>
  </si>
  <si>
    <t>0-7817-7023-8</t>
  </si>
  <si>
    <t>Wintrobe's Clinical Hematology</t>
  </si>
  <si>
    <t>978-0-7817-3650-3</t>
  </si>
  <si>
    <t>0-7817-3650-1</t>
  </si>
  <si>
    <t>978-0-7817-6507-7</t>
  </si>
  <si>
    <t>0-7817-6507-2</t>
  </si>
  <si>
    <t>Women's Health: A Guide to Health Promotion and Disorder Management</t>
  </si>
  <si>
    <t>978-1-5825-5282-8</t>
  </si>
  <si>
    <t>1-5825-5282-7</t>
  </si>
  <si>
    <t>Women's Mental Health: A Life-Cycle Approach</t>
  </si>
  <si>
    <t>978-0-7817-5129-2</t>
  </si>
  <si>
    <t>0-7817-5129-2</t>
  </si>
  <si>
    <t>Wound Care Essentials: Practice Principles</t>
  </si>
  <si>
    <t>978-1-5825-5469-3</t>
  </si>
  <si>
    <t>1-5825-5469-2</t>
  </si>
  <si>
    <t>Wound Care Facts Made Incredibly Quick!</t>
  </si>
  <si>
    <t>978-1-5825-5468-6</t>
  </si>
  <si>
    <t>1-5825-5468-4</t>
  </si>
  <si>
    <t>Wound Care Made Incredibly Easy!</t>
  </si>
  <si>
    <t>978-1-5825-5539-3</t>
  </si>
  <si>
    <t>1-5825-5539-7</t>
  </si>
  <si>
    <t>Wound Care Made Incredibly Visual!</t>
  </si>
  <si>
    <t>978-1-5825-5554-6</t>
  </si>
  <si>
    <t>1-5825-5554-0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</si>
</sst>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4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3" fillId="0" borderId="0" xfId="1"/>
  </cellXfs>
  <cellStyles count="2">
    <cellStyle name="Hyperlink" xfId="1" builtinId="8"/>
    <cellStyle name="Normal" xfId="0" builtinId="0"/>
  </cellStyles>
  <dxfs count="1">
    <dxf>
      <font>
        <b/>
        <sz val="11"/>
        <color theme="1"/>
        <name val="宋体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3" displayName="Table3" ref="A1:G871" totalsRowShown="0" headerRowDxfId="0" headerRowCellStyle="Normal">
  <autoFilter ref="A1:G871"/>
  <tableColumns count="7">
    <tableColumn id="1" name="Book Title"/>
    <tableColumn id="2" name="ISBN-13"/>
    <tableColumn id="3" name="ISBN-10"/>
    <tableColumn id="4" name="Publisher"/>
    <tableColumn id="5" name="Edition"/>
    <tableColumn id="6" name="Jumpstart" dataCellStyle="Hyperlink"/>
    <tableColumn id="7" name="Offered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1"/>
  <sheetViews>
    <sheetView tabSelected="1" workbookViewId="0">
      <selection sqref="A1:XFD1048576"/>
    </sheetView>
  </sheetViews>
  <sheetFormatPr defaultColWidth="9.125" defaultRowHeight="13.5" x14ac:dyDescent="0.15"/>
  <cols>
    <col min="1" max="1" width="54.75" style="2" customWidth="1"/>
    <col min="2" max="2" width="19.75" style="2" customWidth="1"/>
    <col min="3" max="3" width="14.75" style="2" customWidth="1"/>
    <col min="4" max="4" width="44.75" style="2" customWidth="1"/>
    <col min="5" max="5" width="14.75" style="2" customWidth="1"/>
    <col min="6" max="6" width="64.75" style="2" customWidth="1"/>
    <col min="7" max="7" width="19.75" style="2" customWidth="1"/>
    <col min="8" max="16384" width="9.125" style="2"/>
  </cols>
  <sheetData>
    <row r="1" spans="1:7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1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3" t="str">
        <f>HYPERLINK("http://ovidsp.ovid.com/ovidweb.cgi?T=JS&amp;NEWS=n&amp;CSC=Y&amp;PAGE=booktext&amp;D=books&amp;AN=01222971$&amp;XPATH=/PG(0)","http://ovidsp.ovid.com/ovidweb.cgi?T=JS&amp;NEWS=n&amp;CSC=Y&amp;PAGE=booktext&amp;D=books&amp;AN=01222971$&amp;XPATH=/PG(0)")</f>
        <v>http://ovidsp.ovid.com/ovidweb.cgi?T=JS&amp;NEWS=n&amp;CSC=Y&amp;PAGE=booktext&amp;D=books&amp;AN=01222971$&amp;XPATH=/PG(0)</v>
      </c>
      <c r="G2" s="2" t="s">
        <v>12</v>
      </c>
    </row>
    <row r="3" spans="1:7" x14ac:dyDescent="0.15">
      <c r="A3" s="2" t="s">
        <v>13</v>
      </c>
      <c r="B3" s="2" t="s">
        <v>14</v>
      </c>
      <c r="C3" s="2" t="s">
        <v>15</v>
      </c>
      <c r="D3" s="2" t="s">
        <v>10</v>
      </c>
      <c r="E3" s="2" t="s">
        <v>16</v>
      </c>
      <c r="F3" s="3" t="str">
        <f>HYPERLINK("http://ovidsp.ovid.com/ovidweb.cgi?T=JS&amp;NEWS=n&amp;CSC=Y&amp;PAGE=booktext&amp;D=books&amp;AN=01256985$&amp;XPATH=/PG(0)","http://ovidsp.ovid.com/ovidweb.cgi?T=JS&amp;NEWS=n&amp;CSC=Y&amp;PAGE=booktext&amp;D=books&amp;AN=01256985$&amp;XPATH=/PG(0)")</f>
        <v>http://ovidsp.ovid.com/ovidweb.cgi?T=JS&amp;NEWS=n&amp;CSC=Y&amp;PAGE=booktext&amp;D=books&amp;AN=01256985$&amp;XPATH=/PG(0)</v>
      </c>
      <c r="G3" s="2" t="s">
        <v>17</v>
      </c>
    </row>
    <row r="4" spans="1:7" x14ac:dyDescent="0.15">
      <c r="A4" s="2" t="s">
        <v>18</v>
      </c>
      <c r="B4" s="2" t="s">
        <v>19</v>
      </c>
      <c r="C4" s="2" t="s">
        <v>20</v>
      </c>
      <c r="D4" s="2" t="s">
        <v>10</v>
      </c>
      <c r="E4" s="2" t="s">
        <v>16</v>
      </c>
      <c r="F4" s="3" t="str">
        <f>HYPERLINK("http://ovidsp.ovid.com/ovidweb.cgi?T=JS&amp;NEWS=n&amp;CSC=Y&amp;PAGE=booktext&amp;D=books&amp;AN=01256986$&amp;XPATH=/PG(0)","http://ovidsp.ovid.com/ovidweb.cgi?T=JS&amp;NEWS=n&amp;CSC=Y&amp;PAGE=booktext&amp;D=books&amp;AN=01256986$&amp;XPATH=/PG(0)")</f>
        <v>http://ovidsp.ovid.com/ovidweb.cgi?T=JS&amp;NEWS=n&amp;CSC=Y&amp;PAGE=booktext&amp;D=books&amp;AN=01256986$&amp;XPATH=/PG(0)</v>
      </c>
      <c r="G4" s="2" t="s">
        <v>17</v>
      </c>
    </row>
    <row r="5" spans="1:7" x14ac:dyDescent="0.15">
      <c r="A5" s="2" t="s">
        <v>21</v>
      </c>
      <c r="B5" s="2" t="s">
        <v>22</v>
      </c>
      <c r="C5" s="2" t="s">
        <v>23</v>
      </c>
      <c r="D5" s="2" t="s">
        <v>10</v>
      </c>
      <c r="E5" s="2" t="s">
        <v>24</v>
      </c>
      <c r="F5" s="3" t="str">
        <f>HYPERLINK("http://ovidsp.ovid.com/ovidweb.cgi?T=JS&amp;NEWS=n&amp;CSC=Y&amp;PAGE=booktext&amp;D=books&amp;AN=01337213$&amp;XPATH=/PG(0)","http://ovidsp.ovid.com/ovidweb.cgi?T=JS&amp;NEWS=n&amp;CSC=Y&amp;PAGE=booktext&amp;D=books&amp;AN=01337213$&amp;XPATH=/PG(0)")</f>
        <v>http://ovidsp.ovid.com/ovidweb.cgi?T=JS&amp;NEWS=n&amp;CSC=Y&amp;PAGE=booktext&amp;D=books&amp;AN=01337213$&amp;XPATH=/PG(0)</v>
      </c>
      <c r="G5" s="2" t="s">
        <v>12</v>
      </c>
    </row>
    <row r="6" spans="1:7" x14ac:dyDescent="0.15">
      <c r="A6" s="2" t="s">
        <v>25</v>
      </c>
      <c r="B6" s="2" t="s">
        <v>26</v>
      </c>
      <c r="C6" s="2" t="s">
        <v>27</v>
      </c>
      <c r="D6" s="2" t="s">
        <v>10</v>
      </c>
      <c r="E6" s="2" t="s">
        <v>28</v>
      </c>
      <c r="F6" s="3" t="str">
        <f>HYPERLINK("http://ovidsp.ovid.com/ovidweb.cgi?T=JS&amp;NEWS=n&amp;CSC=Y&amp;PAGE=booktext&amp;D=books&amp;AN=01337912$&amp;XPATH=/PG(0)","http://ovidsp.ovid.com/ovidweb.cgi?T=JS&amp;NEWS=n&amp;CSC=Y&amp;PAGE=booktext&amp;D=books&amp;AN=01337912$&amp;XPATH=/PG(0)")</f>
        <v>http://ovidsp.ovid.com/ovidweb.cgi?T=JS&amp;NEWS=n&amp;CSC=Y&amp;PAGE=booktext&amp;D=books&amp;AN=01337912$&amp;XPATH=/PG(0)</v>
      </c>
      <c r="G6" s="2" t="s">
        <v>12</v>
      </c>
    </row>
    <row r="7" spans="1:7" x14ac:dyDescent="0.15">
      <c r="A7" s="2" t="s">
        <v>29</v>
      </c>
      <c r="B7" s="2" t="s">
        <v>30</v>
      </c>
      <c r="C7" s="2" t="s">
        <v>31</v>
      </c>
      <c r="D7" s="2" t="s">
        <v>10</v>
      </c>
      <c r="E7" s="2" t="s">
        <v>32</v>
      </c>
      <c r="F7" s="3" t="str">
        <f>HYPERLINK("http://ovidsp.ovid.com/ovidweb.cgi?T=JS&amp;NEWS=n&amp;CSC=Y&amp;PAGE=booktext&amp;D=books&amp;AN=00139924$&amp;XPATH=/PG(0)","http://ovidsp.ovid.com/ovidweb.cgi?T=JS&amp;NEWS=n&amp;CSC=Y&amp;PAGE=booktext&amp;D=books&amp;AN=00139924$&amp;XPATH=/PG(0)")</f>
        <v>http://ovidsp.ovid.com/ovidweb.cgi?T=JS&amp;NEWS=n&amp;CSC=Y&amp;PAGE=booktext&amp;D=books&amp;AN=00139924$&amp;XPATH=/PG(0)</v>
      </c>
      <c r="G7" s="2" t="s">
        <v>12</v>
      </c>
    </row>
    <row r="8" spans="1:7" x14ac:dyDescent="0.15">
      <c r="A8" s="2" t="s">
        <v>33</v>
      </c>
      <c r="B8" s="2" t="s">
        <v>34</v>
      </c>
      <c r="C8" s="2" t="s">
        <v>35</v>
      </c>
      <c r="D8" s="2" t="s">
        <v>10</v>
      </c>
      <c r="E8" s="2" t="s">
        <v>16</v>
      </c>
      <c r="F8" s="3" t="str">
        <f>HYPERLINK("http://ovidsp.ovid.com/ovidweb.cgi?T=JS&amp;NEWS=n&amp;CSC=Y&amp;PAGE=booktext&amp;D=books&amp;AN=00139864$&amp;XPATH=/PG(0)","http://ovidsp.ovid.com/ovidweb.cgi?T=JS&amp;NEWS=n&amp;CSC=Y&amp;PAGE=booktext&amp;D=books&amp;AN=00139864$&amp;XPATH=/PG(0)")</f>
        <v>http://ovidsp.ovid.com/ovidweb.cgi?T=JS&amp;NEWS=n&amp;CSC=Y&amp;PAGE=booktext&amp;D=books&amp;AN=00139864$&amp;XPATH=/PG(0)</v>
      </c>
      <c r="G8" s="2" t="s">
        <v>17</v>
      </c>
    </row>
    <row r="9" spans="1:7" x14ac:dyDescent="0.15">
      <c r="A9" s="2" t="s">
        <v>36</v>
      </c>
      <c r="B9" s="2" t="s">
        <v>37</v>
      </c>
      <c r="C9" s="2" t="s">
        <v>38</v>
      </c>
      <c r="D9" s="2" t="s">
        <v>10</v>
      </c>
      <c r="E9" s="2" t="s">
        <v>16</v>
      </c>
      <c r="F9" s="3" t="str">
        <f>HYPERLINK("http://ovidsp.ovid.com/ovidweb.cgi?T=JS&amp;NEWS=n&amp;CSC=Y&amp;PAGE=booktext&amp;D=books&amp;AN=01382413$&amp;XPATH=/PG(0)","http://ovidsp.ovid.com/ovidweb.cgi?T=JS&amp;NEWS=n&amp;CSC=Y&amp;PAGE=booktext&amp;D=books&amp;AN=01382413$&amp;XPATH=/PG(0)")</f>
        <v>http://ovidsp.ovid.com/ovidweb.cgi?T=JS&amp;NEWS=n&amp;CSC=Y&amp;PAGE=booktext&amp;D=books&amp;AN=01382413$&amp;XPATH=/PG(0)</v>
      </c>
      <c r="G9" s="2" t="s">
        <v>17</v>
      </c>
    </row>
    <row r="10" spans="1:7" x14ac:dyDescent="0.15">
      <c r="A10" s="2" t="s">
        <v>39</v>
      </c>
      <c r="B10" s="2" t="s">
        <v>40</v>
      </c>
      <c r="C10" s="2" t="s">
        <v>41</v>
      </c>
      <c r="D10" s="2" t="s">
        <v>10</v>
      </c>
      <c r="E10" s="2" t="s">
        <v>16</v>
      </c>
      <c r="F10" s="3" t="str">
        <f>HYPERLINK("http://ovidsp.ovid.com/ovidweb.cgi?T=JS&amp;NEWS=n&amp;CSC=Y&amp;PAGE=booktext&amp;D=books&amp;AN=01337302$&amp;XPATH=/PG(0)","http://ovidsp.ovid.com/ovidweb.cgi?T=JS&amp;NEWS=n&amp;CSC=Y&amp;PAGE=booktext&amp;D=books&amp;AN=01337302$&amp;XPATH=/PG(0)")</f>
        <v>http://ovidsp.ovid.com/ovidweb.cgi?T=JS&amp;NEWS=n&amp;CSC=Y&amp;PAGE=booktext&amp;D=books&amp;AN=01337302$&amp;XPATH=/PG(0)</v>
      </c>
      <c r="G10" s="2" t="s">
        <v>17</v>
      </c>
    </row>
    <row r="11" spans="1:7" x14ac:dyDescent="0.15">
      <c r="A11" s="2" t="s">
        <v>42</v>
      </c>
      <c r="B11" s="2" t="s">
        <v>43</v>
      </c>
      <c r="C11" s="2" t="s">
        <v>44</v>
      </c>
      <c r="D11" s="2" t="s">
        <v>10</v>
      </c>
      <c r="E11" s="2" t="s">
        <v>45</v>
      </c>
      <c r="F11" s="3" t="str">
        <f>HYPERLINK("http://ovidsp.ovid.com/ovidweb.cgi?T=JS&amp;NEWS=n&amp;CSC=Y&amp;PAGE=booktext&amp;D=books&amp;AN=00139867$&amp;XPATH=/PG(0)","http://ovidsp.ovid.com/ovidweb.cgi?T=JS&amp;NEWS=n&amp;CSC=Y&amp;PAGE=booktext&amp;D=books&amp;AN=00139867$&amp;XPATH=/PG(0)")</f>
        <v>http://ovidsp.ovid.com/ovidweb.cgi?T=JS&amp;NEWS=n&amp;CSC=Y&amp;PAGE=booktext&amp;D=books&amp;AN=00139867$&amp;XPATH=/PG(0)</v>
      </c>
      <c r="G11" s="2" t="s">
        <v>17</v>
      </c>
    </row>
    <row r="12" spans="1:7" x14ac:dyDescent="0.15">
      <c r="A12" s="2" t="s">
        <v>46</v>
      </c>
      <c r="B12" s="2" t="s">
        <v>47</v>
      </c>
      <c r="C12" s="2" t="s">
        <v>48</v>
      </c>
      <c r="D12" s="2" t="s">
        <v>10</v>
      </c>
      <c r="E12" s="2" t="s">
        <v>49</v>
      </c>
      <c r="F12" s="3" t="str">
        <f>HYPERLINK("http://ovidsp.ovid.com/ovidweb.cgi?T=JS&amp;NEWS=n&amp;CSC=Y&amp;PAGE=booktext&amp;D=books&amp;AN=00139865$&amp;XPATH=/PG(0)","http://ovidsp.ovid.com/ovidweb.cgi?T=JS&amp;NEWS=n&amp;CSC=Y&amp;PAGE=booktext&amp;D=books&amp;AN=00139865$&amp;XPATH=/PG(0)")</f>
        <v>http://ovidsp.ovid.com/ovidweb.cgi?T=JS&amp;NEWS=n&amp;CSC=Y&amp;PAGE=booktext&amp;D=books&amp;AN=00139865$&amp;XPATH=/PG(0)</v>
      </c>
      <c r="G12" s="2" t="s">
        <v>12</v>
      </c>
    </row>
    <row r="13" spans="1:7" x14ac:dyDescent="0.15">
      <c r="A13" s="2" t="s">
        <v>50</v>
      </c>
      <c r="B13" s="2" t="s">
        <v>51</v>
      </c>
      <c r="C13" s="2" t="s">
        <v>52</v>
      </c>
      <c r="D13" s="2" t="s">
        <v>10</v>
      </c>
      <c r="E13" s="2" t="s">
        <v>53</v>
      </c>
      <c r="F13" s="3" t="str">
        <f>HYPERLINK("http://ovidsp.ovid.com/ovidweb.cgi?T=JS&amp;NEWS=n&amp;CSC=Y&amp;PAGE=booktext&amp;D=books&amp;AN=01337157$&amp;XPATH=/PG(0)","http://ovidsp.ovid.com/ovidweb.cgi?T=JS&amp;NEWS=n&amp;CSC=Y&amp;PAGE=booktext&amp;D=books&amp;AN=01337157$&amp;XPATH=/PG(0)")</f>
        <v>http://ovidsp.ovid.com/ovidweb.cgi?T=JS&amp;NEWS=n&amp;CSC=Y&amp;PAGE=booktext&amp;D=books&amp;AN=01337157$&amp;XPATH=/PG(0)</v>
      </c>
      <c r="G13" s="2" t="s">
        <v>17</v>
      </c>
    </row>
    <row r="14" spans="1:7" x14ac:dyDescent="0.15">
      <c r="A14" s="2" t="s">
        <v>54</v>
      </c>
      <c r="B14" s="2" t="s">
        <v>55</v>
      </c>
      <c r="C14" s="2" t="s">
        <v>56</v>
      </c>
      <c r="D14" s="2" t="s">
        <v>10</v>
      </c>
      <c r="E14" s="2" t="s">
        <v>16</v>
      </c>
      <c r="F14" s="3" t="str">
        <f>HYPERLINK("http://ovidsp.ovid.com/ovidweb.cgi?T=JS&amp;NEWS=n&amp;CSC=Y&amp;PAGE=booktext&amp;D=books&amp;AN=00139866$&amp;XPATH=/PG(0)","http://ovidsp.ovid.com/ovidweb.cgi?T=JS&amp;NEWS=n&amp;CSC=Y&amp;PAGE=booktext&amp;D=books&amp;AN=00139866$&amp;XPATH=/PG(0)")</f>
        <v>http://ovidsp.ovid.com/ovidweb.cgi?T=JS&amp;NEWS=n&amp;CSC=Y&amp;PAGE=booktext&amp;D=books&amp;AN=00139866$&amp;XPATH=/PG(0)</v>
      </c>
      <c r="G14" s="2" t="s">
        <v>17</v>
      </c>
    </row>
    <row r="15" spans="1:7" x14ac:dyDescent="0.15">
      <c r="A15" s="2" t="s">
        <v>57</v>
      </c>
      <c r="B15" s="2" t="s">
        <v>58</v>
      </c>
      <c r="C15" s="2" t="s">
        <v>59</v>
      </c>
      <c r="D15" s="2" t="s">
        <v>10</v>
      </c>
      <c r="E15" s="2" t="s">
        <v>16</v>
      </c>
      <c r="F15" s="3" t="str">
        <f>HYPERLINK("http://ovidsp.ovid.com/ovidweb.cgi?T=JS&amp;NEWS=n&amp;CSC=Y&amp;PAGE=booktext&amp;D=books&amp;AN=00139868$&amp;XPATH=/PG(0)","http://ovidsp.ovid.com/ovidweb.cgi?T=JS&amp;NEWS=n&amp;CSC=Y&amp;PAGE=booktext&amp;D=books&amp;AN=00139868$&amp;XPATH=/PG(0)")</f>
        <v>http://ovidsp.ovid.com/ovidweb.cgi?T=JS&amp;NEWS=n&amp;CSC=Y&amp;PAGE=booktext&amp;D=books&amp;AN=00139868$&amp;XPATH=/PG(0)</v>
      </c>
      <c r="G15" s="2" t="s">
        <v>17</v>
      </c>
    </row>
    <row r="16" spans="1:7" x14ac:dyDescent="0.15">
      <c r="A16" s="2" t="s">
        <v>60</v>
      </c>
      <c r="B16" s="2" t="s">
        <v>61</v>
      </c>
      <c r="C16" s="2" t="s">
        <v>62</v>
      </c>
      <c r="D16" s="2" t="s">
        <v>10</v>
      </c>
      <c r="E16" s="2" t="s">
        <v>16</v>
      </c>
      <c r="F16" s="3" t="str">
        <f>HYPERLINK("http://ovidsp.ovid.com/ovidweb.cgi?T=JS&amp;NEWS=n&amp;CSC=Y&amp;PAGE=booktext&amp;D=books&amp;AN=00139869$&amp;XPATH=/PG(0)","http://ovidsp.ovid.com/ovidweb.cgi?T=JS&amp;NEWS=n&amp;CSC=Y&amp;PAGE=booktext&amp;D=books&amp;AN=00139869$&amp;XPATH=/PG(0)")</f>
        <v>http://ovidsp.ovid.com/ovidweb.cgi?T=JS&amp;NEWS=n&amp;CSC=Y&amp;PAGE=booktext&amp;D=books&amp;AN=00139869$&amp;XPATH=/PG(0)</v>
      </c>
      <c r="G16" s="2" t="s">
        <v>17</v>
      </c>
    </row>
    <row r="17" spans="1:7" x14ac:dyDescent="0.15">
      <c r="A17" s="2" t="s">
        <v>63</v>
      </c>
      <c r="B17" s="2" t="s">
        <v>64</v>
      </c>
      <c r="C17" s="2" t="s">
        <v>65</v>
      </c>
      <c r="D17" s="2" t="s">
        <v>10</v>
      </c>
      <c r="E17" s="2" t="s">
        <v>16</v>
      </c>
      <c r="F17" s="3" t="str">
        <f>HYPERLINK("http://ovidsp.ovid.com/ovidweb.cgi?T=JS&amp;NEWS=n&amp;CSC=Y&amp;PAGE=booktext&amp;D=books&amp;AN=01382578$&amp;XPATH=/PG(0)","http://ovidsp.ovid.com/ovidweb.cgi?T=JS&amp;NEWS=n&amp;CSC=Y&amp;PAGE=booktext&amp;D=books&amp;AN=01382578$&amp;XPATH=/PG(0)")</f>
        <v>http://ovidsp.ovid.com/ovidweb.cgi?T=JS&amp;NEWS=n&amp;CSC=Y&amp;PAGE=booktext&amp;D=books&amp;AN=01382578$&amp;XPATH=/PG(0)</v>
      </c>
      <c r="G17" s="2" t="s">
        <v>12</v>
      </c>
    </row>
    <row r="18" spans="1:7" x14ac:dyDescent="0.15">
      <c r="A18" s="2" t="s">
        <v>66</v>
      </c>
      <c r="B18" s="2" t="s">
        <v>67</v>
      </c>
      <c r="C18" s="2" t="s">
        <v>68</v>
      </c>
      <c r="D18" s="2" t="s">
        <v>10</v>
      </c>
      <c r="E18" s="2" t="s">
        <v>45</v>
      </c>
      <c r="F18" s="3" t="str">
        <f>HYPERLINK("http://ovidsp.ovid.com/ovidweb.cgi?T=JS&amp;NEWS=n&amp;CSC=Y&amp;PAGE=booktext&amp;D=books&amp;AN=01382418$&amp;XPATH=/PG(0)","http://ovidsp.ovid.com/ovidweb.cgi?T=JS&amp;NEWS=n&amp;CSC=Y&amp;PAGE=booktext&amp;D=books&amp;AN=01382418$&amp;XPATH=/PG(0)")</f>
        <v>http://ovidsp.ovid.com/ovidweb.cgi?T=JS&amp;NEWS=n&amp;CSC=Y&amp;PAGE=booktext&amp;D=books&amp;AN=01382418$&amp;XPATH=/PG(0)</v>
      </c>
      <c r="G18" s="2" t="s">
        <v>17</v>
      </c>
    </row>
    <row r="19" spans="1:7" x14ac:dyDescent="0.15">
      <c r="A19" s="2" t="s">
        <v>69</v>
      </c>
      <c r="B19" s="2" t="s">
        <v>70</v>
      </c>
      <c r="C19" s="2" t="s">
        <v>71</v>
      </c>
      <c r="D19" s="2" t="s">
        <v>10</v>
      </c>
      <c r="E19" s="2" t="s">
        <v>45</v>
      </c>
      <c r="F19" s="3" t="str">
        <f>HYPERLINK("http://ovidsp.ovid.com/ovidweb.cgi?T=JS&amp;NEWS=n&amp;CSC=Y&amp;PAGE=booktext&amp;D=books&amp;AN=01276444$&amp;XPATH=/PG(0)","http://ovidsp.ovid.com/ovidweb.cgi?T=JS&amp;NEWS=n&amp;CSC=Y&amp;PAGE=booktext&amp;D=books&amp;AN=01276444$&amp;XPATH=/PG(0)")</f>
        <v>http://ovidsp.ovid.com/ovidweb.cgi?T=JS&amp;NEWS=n&amp;CSC=Y&amp;PAGE=booktext&amp;D=books&amp;AN=01276444$&amp;XPATH=/PG(0)</v>
      </c>
      <c r="G19" s="2" t="s">
        <v>12</v>
      </c>
    </row>
    <row r="20" spans="1:7" x14ac:dyDescent="0.15">
      <c r="A20" s="2" t="s">
        <v>72</v>
      </c>
      <c r="B20" s="2" t="s">
        <v>73</v>
      </c>
      <c r="C20" s="2" t="s">
        <v>74</v>
      </c>
      <c r="D20" s="2" t="s">
        <v>10</v>
      </c>
      <c r="E20" s="2" t="s">
        <v>45</v>
      </c>
      <c r="F20" s="3" t="str">
        <f>HYPERLINK("http://ovidsp.ovid.com/ovidweb.cgi?T=JS&amp;NEWS=n&amp;CSC=Y&amp;PAGE=booktext&amp;D=books&amp;AN=01382419$&amp;XPATH=/PG(0)","http://ovidsp.ovid.com/ovidweb.cgi?T=JS&amp;NEWS=n&amp;CSC=Y&amp;PAGE=booktext&amp;D=books&amp;AN=01382419$&amp;XPATH=/PG(0)")</f>
        <v>http://ovidsp.ovid.com/ovidweb.cgi?T=JS&amp;NEWS=n&amp;CSC=Y&amp;PAGE=booktext&amp;D=books&amp;AN=01382419$&amp;XPATH=/PG(0)</v>
      </c>
      <c r="G20" s="2" t="s">
        <v>17</v>
      </c>
    </row>
    <row r="21" spans="1:7" x14ac:dyDescent="0.15">
      <c r="A21" s="2" t="s">
        <v>75</v>
      </c>
      <c r="B21" s="2" t="s">
        <v>76</v>
      </c>
      <c r="C21" s="2" t="s">
        <v>77</v>
      </c>
      <c r="D21" s="2" t="s">
        <v>10</v>
      </c>
      <c r="E21" s="2" t="s">
        <v>16</v>
      </c>
      <c r="F21" s="3" t="str">
        <f>HYPERLINK("http://ovidsp.ovid.com/ovidweb.cgi?T=JS&amp;NEWS=n&amp;CSC=Y&amp;PAGE=booktext&amp;D=books&amp;AN=01382799$&amp;XPATH=/PG(0)","http://ovidsp.ovid.com/ovidweb.cgi?T=JS&amp;NEWS=n&amp;CSC=Y&amp;PAGE=booktext&amp;D=books&amp;AN=01382799$&amp;XPATH=/PG(0)")</f>
        <v>http://ovidsp.ovid.com/ovidweb.cgi?T=JS&amp;NEWS=n&amp;CSC=Y&amp;PAGE=booktext&amp;D=books&amp;AN=01382799$&amp;XPATH=/PG(0)</v>
      </c>
      <c r="G21" s="2" t="s">
        <v>12</v>
      </c>
    </row>
    <row r="22" spans="1:7" x14ac:dyDescent="0.15">
      <c r="A22" s="2" t="s">
        <v>78</v>
      </c>
      <c r="B22" s="2" t="s">
        <v>79</v>
      </c>
      <c r="C22" s="2" t="s">
        <v>80</v>
      </c>
      <c r="D22" s="2" t="s">
        <v>10</v>
      </c>
      <c r="E22" s="2" t="s">
        <v>45</v>
      </c>
      <c r="F22" s="3" t="str">
        <f>HYPERLINK("http://ovidsp.ovid.com/ovidweb.cgi?T=JS&amp;NEWS=n&amp;CSC=Y&amp;PAGE=booktext&amp;D=books&amp;AN=01279715$&amp;XPATH=/PG(0)","http://ovidsp.ovid.com/ovidweb.cgi?T=JS&amp;NEWS=n&amp;CSC=Y&amp;PAGE=booktext&amp;D=books&amp;AN=01279715$&amp;XPATH=/PG(0)")</f>
        <v>http://ovidsp.ovid.com/ovidweb.cgi?T=JS&amp;NEWS=n&amp;CSC=Y&amp;PAGE=booktext&amp;D=books&amp;AN=01279715$&amp;XPATH=/PG(0)</v>
      </c>
      <c r="G22" s="2" t="s">
        <v>17</v>
      </c>
    </row>
    <row r="23" spans="1:7" x14ac:dyDescent="0.15">
      <c r="A23" s="2" t="s">
        <v>81</v>
      </c>
      <c r="B23" s="2" t="s">
        <v>82</v>
      </c>
      <c r="C23" s="2" t="s">
        <v>83</v>
      </c>
      <c r="D23" s="2" t="s">
        <v>10</v>
      </c>
      <c r="E23" s="2" t="s">
        <v>16</v>
      </c>
      <c r="F23" s="3" t="str">
        <f>HYPERLINK("http://ovidsp.ovid.com/ovidweb.cgi?T=JS&amp;NEWS=n&amp;CSC=Y&amp;PAGE=booktext&amp;D=books&amp;AN=01382420$&amp;XPATH=/PG(0)","http://ovidsp.ovid.com/ovidweb.cgi?T=JS&amp;NEWS=n&amp;CSC=Y&amp;PAGE=booktext&amp;D=books&amp;AN=01382420$&amp;XPATH=/PG(0)")</f>
        <v>http://ovidsp.ovid.com/ovidweb.cgi?T=JS&amp;NEWS=n&amp;CSC=Y&amp;PAGE=booktext&amp;D=books&amp;AN=01382420$&amp;XPATH=/PG(0)</v>
      </c>
      <c r="G23" s="2" t="s">
        <v>17</v>
      </c>
    </row>
    <row r="24" spans="1:7" x14ac:dyDescent="0.15">
      <c r="A24" s="2" t="s">
        <v>84</v>
      </c>
      <c r="B24" s="2" t="s">
        <v>85</v>
      </c>
      <c r="C24" s="2" t="s">
        <v>86</v>
      </c>
      <c r="D24" s="2" t="s">
        <v>10</v>
      </c>
      <c r="E24" s="2" t="s">
        <v>53</v>
      </c>
      <c r="F24" s="3" t="str">
        <f>HYPERLINK("http://ovidsp.ovid.com/ovidweb.cgi?T=JS&amp;NEWS=n&amp;CSC=Y&amp;PAGE=booktext&amp;D=books&amp;AN=01276471$&amp;XPATH=/PG(0)","http://ovidsp.ovid.com/ovidweb.cgi?T=JS&amp;NEWS=n&amp;CSC=Y&amp;PAGE=booktext&amp;D=books&amp;AN=01276471$&amp;XPATH=/PG(0)")</f>
        <v>http://ovidsp.ovid.com/ovidweb.cgi?T=JS&amp;NEWS=n&amp;CSC=Y&amp;PAGE=booktext&amp;D=books&amp;AN=01276471$&amp;XPATH=/PG(0)</v>
      </c>
      <c r="G24" s="2" t="s">
        <v>17</v>
      </c>
    </row>
    <row r="25" spans="1:7" x14ac:dyDescent="0.15">
      <c r="A25" s="2" t="s">
        <v>84</v>
      </c>
      <c r="B25" s="2" t="s">
        <v>87</v>
      </c>
      <c r="C25" s="2" t="s">
        <v>88</v>
      </c>
      <c r="D25" s="2" t="s">
        <v>10</v>
      </c>
      <c r="E25" s="2" t="s">
        <v>49</v>
      </c>
      <c r="F25" s="3" t="str">
        <f>HYPERLINK("http://ovidsp.ovid.com/ovidweb.cgi?T=JS&amp;NEWS=n&amp;CSC=Y&amp;PAGE=booktext&amp;D=books&amp;AN=00139871$&amp;XPATH=/PG(0)","http://ovidsp.ovid.com/ovidweb.cgi?T=JS&amp;NEWS=n&amp;CSC=Y&amp;PAGE=booktext&amp;D=books&amp;AN=00139871$&amp;XPATH=/PG(0)")</f>
        <v>http://ovidsp.ovid.com/ovidweb.cgi?T=JS&amp;NEWS=n&amp;CSC=Y&amp;PAGE=booktext&amp;D=books&amp;AN=00139871$&amp;XPATH=/PG(0)</v>
      </c>
      <c r="G25" s="2" t="s">
        <v>17</v>
      </c>
    </row>
    <row r="26" spans="1:7" x14ac:dyDescent="0.15">
      <c r="A26" s="2" t="s">
        <v>89</v>
      </c>
      <c r="B26" s="2" t="s">
        <v>90</v>
      </c>
      <c r="C26" s="2" t="s">
        <v>91</v>
      </c>
      <c r="D26" s="2" t="s">
        <v>10</v>
      </c>
      <c r="E26" s="2" t="s">
        <v>16</v>
      </c>
      <c r="F26" s="3" t="str">
        <f>HYPERLINK("http://ovidsp.ovid.com/ovidweb.cgi?T=JS&amp;NEWS=n&amp;CSC=Y&amp;PAGE=booktext&amp;D=books&amp;AN=01382467$&amp;XPATH=/PG(0)","http://ovidsp.ovid.com/ovidweb.cgi?T=JS&amp;NEWS=n&amp;CSC=Y&amp;PAGE=booktext&amp;D=books&amp;AN=01382467$&amp;XPATH=/PG(0)")</f>
        <v>http://ovidsp.ovid.com/ovidweb.cgi?T=JS&amp;NEWS=n&amp;CSC=Y&amp;PAGE=booktext&amp;D=books&amp;AN=01382467$&amp;XPATH=/PG(0)</v>
      </c>
      <c r="G26" s="2" t="s">
        <v>17</v>
      </c>
    </row>
    <row r="27" spans="1:7" x14ac:dyDescent="0.15">
      <c r="A27" s="2" t="s">
        <v>92</v>
      </c>
      <c r="B27" s="2" t="s">
        <v>93</v>
      </c>
      <c r="C27" s="2" t="s">
        <v>94</v>
      </c>
      <c r="D27" s="2" t="s">
        <v>10</v>
      </c>
      <c r="E27" s="2" t="s">
        <v>95</v>
      </c>
      <c r="F27" s="3" t="str">
        <f>HYPERLINK("http://ovidsp.ovid.com/ovidweb.cgi?T=JS&amp;NEWS=n&amp;CSC=Y&amp;PAGE=booktext&amp;D=books&amp;AN=01222972$&amp;XPATH=/PG(0)","http://ovidsp.ovid.com/ovidweb.cgi?T=JS&amp;NEWS=n&amp;CSC=Y&amp;PAGE=booktext&amp;D=books&amp;AN=01222972$&amp;XPATH=/PG(0)")</f>
        <v>http://ovidsp.ovid.com/ovidweb.cgi?T=JS&amp;NEWS=n&amp;CSC=Y&amp;PAGE=booktext&amp;D=books&amp;AN=01222972$&amp;XPATH=/PG(0)</v>
      </c>
      <c r="G27" s="2" t="s">
        <v>17</v>
      </c>
    </row>
    <row r="28" spans="1:7" x14ac:dyDescent="0.15">
      <c r="A28" s="2" t="s">
        <v>96</v>
      </c>
      <c r="B28" s="2" t="s">
        <v>97</v>
      </c>
      <c r="C28" s="2" t="s">
        <v>98</v>
      </c>
      <c r="D28" s="2" t="s">
        <v>10</v>
      </c>
      <c r="E28" s="2" t="s">
        <v>49</v>
      </c>
      <c r="F28" s="3" t="str">
        <f>HYPERLINK("http://ovidsp.ovid.com/ovidweb.cgi?T=JS&amp;NEWS=n&amp;CSC=Y&amp;PAGE=booktext&amp;D=books&amp;AN=00139872$&amp;XPATH=/PG(0)","http://ovidsp.ovid.com/ovidweb.cgi?T=JS&amp;NEWS=n&amp;CSC=Y&amp;PAGE=booktext&amp;D=books&amp;AN=00139872$&amp;XPATH=/PG(0)")</f>
        <v>http://ovidsp.ovid.com/ovidweb.cgi?T=JS&amp;NEWS=n&amp;CSC=Y&amp;PAGE=booktext&amp;D=books&amp;AN=00139872$&amp;XPATH=/PG(0)</v>
      </c>
      <c r="G28" s="2" t="s">
        <v>17</v>
      </c>
    </row>
    <row r="29" spans="1:7" x14ac:dyDescent="0.15">
      <c r="A29" s="2" t="s">
        <v>99</v>
      </c>
      <c r="B29" s="2" t="s">
        <v>100</v>
      </c>
      <c r="C29" s="2" t="s">
        <v>101</v>
      </c>
      <c r="D29" s="2" t="s">
        <v>10</v>
      </c>
      <c r="E29" s="2" t="s">
        <v>45</v>
      </c>
      <c r="F29" s="3" t="str">
        <f>HYPERLINK("http://ovidsp.ovid.com/ovidweb.cgi?T=JS&amp;NEWS=n&amp;CSC=Y&amp;PAGE=booktext&amp;D=books&amp;AN=01257037$&amp;XPATH=/PG(0)","http://ovidsp.ovid.com/ovidweb.cgi?T=JS&amp;NEWS=n&amp;CSC=Y&amp;PAGE=booktext&amp;D=books&amp;AN=01257037$&amp;XPATH=/PG(0)")</f>
        <v>http://ovidsp.ovid.com/ovidweb.cgi?T=JS&amp;NEWS=n&amp;CSC=Y&amp;PAGE=booktext&amp;D=books&amp;AN=01257037$&amp;XPATH=/PG(0)</v>
      </c>
      <c r="G29" s="2" t="s">
        <v>17</v>
      </c>
    </row>
    <row r="30" spans="1:7" x14ac:dyDescent="0.15">
      <c r="A30" s="2" t="s">
        <v>102</v>
      </c>
      <c r="B30" s="2" t="s">
        <v>103</v>
      </c>
      <c r="C30" s="2" t="s">
        <v>104</v>
      </c>
      <c r="D30" s="2" t="s">
        <v>10</v>
      </c>
      <c r="E30" s="2" t="s">
        <v>16</v>
      </c>
      <c r="F30" s="3" t="str">
        <f>HYPERLINK("http://ovidsp.ovid.com/ovidweb.cgi?T=JS&amp;NEWS=n&amp;CSC=Y&amp;PAGE=booktext&amp;D=books&amp;AN=01382695$&amp;XPATH=/PG(0)","http://ovidsp.ovid.com/ovidweb.cgi?T=JS&amp;NEWS=n&amp;CSC=Y&amp;PAGE=booktext&amp;D=books&amp;AN=01382695$&amp;XPATH=/PG(0)")</f>
        <v>http://ovidsp.ovid.com/ovidweb.cgi?T=JS&amp;NEWS=n&amp;CSC=Y&amp;PAGE=booktext&amp;D=books&amp;AN=01382695$&amp;XPATH=/PG(0)</v>
      </c>
      <c r="G30" s="2" t="s">
        <v>17</v>
      </c>
    </row>
    <row r="31" spans="1:7" x14ac:dyDescent="0.15">
      <c r="A31" s="2" t="s">
        <v>105</v>
      </c>
      <c r="B31" s="2" t="s">
        <v>106</v>
      </c>
      <c r="C31" s="2" t="s">
        <v>107</v>
      </c>
      <c r="D31" s="2" t="s">
        <v>10</v>
      </c>
      <c r="E31" s="2" t="s">
        <v>16</v>
      </c>
      <c r="F31" s="3" t="str">
        <f>HYPERLINK("http://ovidsp.ovid.com/ovidweb.cgi?T=JS&amp;NEWS=n&amp;CSC=Y&amp;PAGE=booktext&amp;D=books&amp;AN=01279697$&amp;XPATH=/PG(0)","http://ovidsp.ovid.com/ovidweb.cgi?T=JS&amp;NEWS=n&amp;CSC=Y&amp;PAGE=booktext&amp;D=books&amp;AN=01279697$&amp;XPATH=/PG(0)")</f>
        <v>http://ovidsp.ovid.com/ovidweb.cgi?T=JS&amp;NEWS=n&amp;CSC=Y&amp;PAGE=booktext&amp;D=books&amp;AN=01279697$&amp;XPATH=/PG(0)</v>
      </c>
      <c r="G31" s="2" t="s">
        <v>17</v>
      </c>
    </row>
    <row r="32" spans="1:7" x14ac:dyDescent="0.15">
      <c r="A32" s="2" t="s">
        <v>108</v>
      </c>
      <c r="B32" s="2" t="s">
        <v>109</v>
      </c>
      <c r="C32" s="2" t="s">
        <v>110</v>
      </c>
      <c r="D32" s="2" t="s">
        <v>10</v>
      </c>
      <c r="E32" s="2" t="s">
        <v>16</v>
      </c>
      <c r="F32" s="3" t="str">
        <f>HYPERLINK("http://ovidsp.ovid.com/ovidweb.cgi?T=JS&amp;NEWS=n&amp;CSC=Y&amp;PAGE=booktext&amp;D=books&amp;AN=01382891$&amp;XPATH=/PG(0)","http://ovidsp.ovid.com/ovidweb.cgi?T=JS&amp;NEWS=n&amp;CSC=Y&amp;PAGE=booktext&amp;D=books&amp;AN=01382891$&amp;XPATH=/PG(0)")</f>
        <v>http://ovidsp.ovid.com/ovidweb.cgi?T=JS&amp;NEWS=n&amp;CSC=Y&amp;PAGE=booktext&amp;D=books&amp;AN=01382891$&amp;XPATH=/PG(0)</v>
      </c>
      <c r="G32" s="2" t="s">
        <v>12</v>
      </c>
    </row>
    <row r="33" spans="1:7" x14ac:dyDescent="0.15">
      <c r="A33" s="2" t="s">
        <v>111</v>
      </c>
      <c r="B33" s="2" t="s">
        <v>112</v>
      </c>
      <c r="C33" s="2" t="s">
        <v>113</v>
      </c>
      <c r="D33" s="2" t="s">
        <v>10</v>
      </c>
      <c r="E33" s="2" t="s">
        <v>16</v>
      </c>
      <c r="F33" s="3" t="str">
        <f>HYPERLINK("http://ovidsp.ovid.com/ovidweb.cgi?T=JS&amp;NEWS=n&amp;CSC=Y&amp;PAGE=booktext&amp;D=books&amp;AN=01282660$&amp;XPATH=/PG(0)","http://ovidsp.ovid.com/ovidweb.cgi?T=JS&amp;NEWS=n&amp;CSC=Y&amp;PAGE=booktext&amp;D=books&amp;AN=01282660$&amp;XPATH=/PG(0)")</f>
        <v>http://ovidsp.ovid.com/ovidweb.cgi?T=JS&amp;NEWS=n&amp;CSC=Y&amp;PAGE=booktext&amp;D=books&amp;AN=01282660$&amp;XPATH=/PG(0)</v>
      </c>
      <c r="G33" s="2" t="s">
        <v>17</v>
      </c>
    </row>
    <row r="34" spans="1:7" x14ac:dyDescent="0.15">
      <c r="A34" s="2" t="s">
        <v>114</v>
      </c>
      <c r="B34" s="2" t="s">
        <v>115</v>
      </c>
      <c r="C34" s="2" t="s">
        <v>116</v>
      </c>
      <c r="D34" s="2" t="s">
        <v>10</v>
      </c>
      <c r="E34" s="2" t="s">
        <v>16</v>
      </c>
      <c r="F34" s="3" t="str">
        <f>HYPERLINK("http://ovidsp.ovid.com/ovidweb.cgi?T=JS&amp;NEWS=n&amp;CSC=Y&amp;PAGE=booktext&amp;D=books&amp;AN=01257000$&amp;XPATH=/PG(0)","http://ovidsp.ovid.com/ovidweb.cgi?T=JS&amp;NEWS=n&amp;CSC=Y&amp;PAGE=booktext&amp;D=books&amp;AN=01257000$&amp;XPATH=/PG(0)")</f>
        <v>http://ovidsp.ovid.com/ovidweb.cgi?T=JS&amp;NEWS=n&amp;CSC=Y&amp;PAGE=booktext&amp;D=books&amp;AN=01257000$&amp;XPATH=/PG(0)</v>
      </c>
      <c r="G34" s="2" t="s">
        <v>17</v>
      </c>
    </row>
    <row r="35" spans="1:7" x14ac:dyDescent="0.15">
      <c r="A35" s="2" t="s">
        <v>117</v>
      </c>
      <c r="B35" s="2" t="s">
        <v>118</v>
      </c>
      <c r="C35" s="2" t="s">
        <v>119</v>
      </c>
      <c r="D35" s="2" t="s">
        <v>10</v>
      </c>
      <c r="E35" s="2" t="s">
        <v>45</v>
      </c>
      <c r="F35" s="3" t="str">
        <f>HYPERLINK("http://ovidsp.ovid.com/ovidweb.cgi?T=JS&amp;NEWS=n&amp;CSC=Y&amp;PAGE=booktext&amp;D=books&amp;AN=00139873$&amp;XPATH=/PG(0)","http://ovidsp.ovid.com/ovidweb.cgi?T=JS&amp;NEWS=n&amp;CSC=Y&amp;PAGE=booktext&amp;D=books&amp;AN=00139873$&amp;XPATH=/PG(0)")</f>
        <v>http://ovidsp.ovid.com/ovidweb.cgi?T=JS&amp;NEWS=n&amp;CSC=Y&amp;PAGE=booktext&amp;D=books&amp;AN=00139873$&amp;XPATH=/PG(0)</v>
      </c>
      <c r="G35" s="2" t="s">
        <v>17</v>
      </c>
    </row>
    <row r="36" spans="1:7" x14ac:dyDescent="0.15">
      <c r="A36" s="2" t="s">
        <v>120</v>
      </c>
      <c r="B36" s="2" t="s">
        <v>121</v>
      </c>
      <c r="C36" s="2" t="s">
        <v>122</v>
      </c>
      <c r="D36" s="2" t="s">
        <v>10</v>
      </c>
      <c r="E36" s="2" t="s">
        <v>16</v>
      </c>
      <c r="F36" s="3" t="str">
        <f>HYPERLINK("http://ovidsp.ovid.com/ovidweb.cgi?T=JS&amp;NEWS=n&amp;CSC=Y&amp;PAGE=booktext&amp;D=books&amp;AN=01382768$&amp;XPATH=/PG(0)","http://ovidsp.ovid.com/ovidweb.cgi?T=JS&amp;NEWS=n&amp;CSC=Y&amp;PAGE=booktext&amp;D=books&amp;AN=01382768$&amp;XPATH=/PG(0)")</f>
        <v>http://ovidsp.ovid.com/ovidweb.cgi?T=JS&amp;NEWS=n&amp;CSC=Y&amp;PAGE=booktext&amp;D=books&amp;AN=01382768$&amp;XPATH=/PG(0)</v>
      </c>
      <c r="G36" s="2" t="s">
        <v>12</v>
      </c>
    </row>
    <row r="37" spans="1:7" x14ac:dyDescent="0.15">
      <c r="A37" s="2" t="s">
        <v>123</v>
      </c>
      <c r="B37" s="2" t="s">
        <v>124</v>
      </c>
      <c r="C37" s="2" t="s">
        <v>125</v>
      </c>
      <c r="D37" s="2" t="s">
        <v>10</v>
      </c>
      <c r="E37" s="2" t="s">
        <v>45</v>
      </c>
      <c r="F37" s="3" t="str">
        <f>HYPERLINK("http://ovidsp.ovid.com/ovidweb.cgi?T=JS&amp;NEWS=n&amp;CSC=Y&amp;PAGE=booktext&amp;D=books&amp;AN=01382521$&amp;XPATH=/PG(0)","http://ovidsp.ovid.com/ovidweb.cgi?T=JS&amp;NEWS=n&amp;CSC=Y&amp;PAGE=booktext&amp;D=books&amp;AN=01382521$&amp;XPATH=/PG(0)")</f>
        <v>http://ovidsp.ovid.com/ovidweb.cgi?T=JS&amp;NEWS=n&amp;CSC=Y&amp;PAGE=booktext&amp;D=books&amp;AN=01382521$&amp;XPATH=/PG(0)</v>
      </c>
      <c r="G37" s="2" t="s">
        <v>17</v>
      </c>
    </row>
    <row r="38" spans="1:7" x14ac:dyDescent="0.15">
      <c r="A38" s="2" t="s">
        <v>126</v>
      </c>
      <c r="B38" s="2" t="s">
        <v>127</v>
      </c>
      <c r="C38" s="2" t="s">
        <v>128</v>
      </c>
      <c r="D38" s="2" t="s">
        <v>10</v>
      </c>
      <c r="E38" s="2" t="s">
        <v>95</v>
      </c>
      <c r="F38" s="3" t="str">
        <f>HYPERLINK("http://ovidsp.ovid.com/ovidweb.cgi?T=JS&amp;NEWS=n&amp;CSC=Y&amp;PAGE=booktext&amp;D=books&amp;AN=01382722$&amp;XPATH=/PG(0)","http://ovidsp.ovid.com/ovidweb.cgi?T=JS&amp;NEWS=n&amp;CSC=Y&amp;PAGE=booktext&amp;D=books&amp;AN=01382722$&amp;XPATH=/PG(0)")</f>
        <v>http://ovidsp.ovid.com/ovidweb.cgi?T=JS&amp;NEWS=n&amp;CSC=Y&amp;PAGE=booktext&amp;D=books&amp;AN=01382722$&amp;XPATH=/PG(0)</v>
      </c>
      <c r="G38" s="2" t="s">
        <v>12</v>
      </c>
    </row>
    <row r="39" spans="1:7" x14ac:dyDescent="0.15">
      <c r="A39" s="2" t="s">
        <v>129</v>
      </c>
      <c r="B39" s="2" t="s">
        <v>130</v>
      </c>
      <c r="C39" s="2" t="s">
        <v>131</v>
      </c>
      <c r="D39" s="2" t="s">
        <v>10</v>
      </c>
      <c r="E39" s="2" t="s">
        <v>16</v>
      </c>
      <c r="F39" s="3" t="str">
        <f>HYPERLINK("http://ovidsp.ovid.com/ovidweb.cgi?T=JS&amp;NEWS=n&amp;CSC=Y&amp;PAGE=booktext&amp;D=books&amp;AN=01382734$&amp;XPATH=/PG(0)","http://ovidsp.ovid.com/ovidweb.cgi?T=JS&amp;NEWS=n&amp;CSC=Y&amp;PAGE=booktext&amp;D=books&amp;AN=01382734$&amp;XPATH=/PG(0)")</f>
        <v>http://ovidsp.ovid.com/ovidweb.cgi?T=JS&amp;NEWS=n&amp;CSC=Y&amp;PAGE=booktext&amp;D=books&amp;AN=01382734$&amp;XPATH=/PG(0)</v>
      </c>
      <c r="G39" s="2" t="s">
        <v>12</v>
      </c>
    </row>
    <row r="40" spans="1:7" x14ac:dyDescent="0.15">
      <c r="A40" s="2" t="s">
        <v>132</v>
      </c>
      <c r="B40" s="2" t="s">
        <v>133</v>
      </c>
      <c r="C40" s="2" t="s">
        <v>134</v>
      </c>
      <c r="D40" s="2" t="s">
        <v>10</v>
      </c>
      <c r="E40" s="2" t="s">
        <v>16</v>
      </c>
      <c r="F40" s="3" t="str">
        <f>HYPERLINK("http://ovidsp.ovid.com/ovidweb.cgi?T=JS&amp;NEWS=n&amp;CSC=Y&amp;PAGE=booktext&amp;D=books&amp;AN=01382737$&amp;XPATH=/PG(0)","http://ovidsp.ovid.com/ovidweb.cgi?T=JS&amp;NEWS=n&amp;CSC=Y&amp;PAGE=booktext&amp;D=books&amp;AN=01382737$&amp;XPATH=/PG(0)")</f>
        <v>http://ovidsp.ovid.com/ovidweb.cgi?T=JS&amp;NEWS=n&amp;CSC=Y&amp;PAGE=booktext&amp;D=books&amp;AN=01382737$&amp;XPATH=/PG(0)</v>
      </c>
      <c r="G40" s="2" t="s">
        <v>12</v>
      </c>
    </row>
    <row r="41" spans="1:7" x14ac:dyDescent="0.15">
      <c r="A41" s="2" t="s">
        <v>135</v>
      </c>
      <c r="B41" s="2" t="s">
        <v>136</v>
      </c>
      <c r="C41" s="2" t="s">
        <v>137</v>
      </c>
      <c r="D41" s="2" t="s">
        <v>10</v>
      </c>
      <c r="E41" s="2" t="s">
        <v>45</v>
      </c>
      <c r="F41" s="3" t="str">
        <f>HYPERLINK("http://ovidsp.ovid.com/ovidweb.cgi?T=JS&amp;NEWS=n&amp;CSC=Y&amp;PAGE=booktext&amp;D=books&amp;AN=01256989$&amp;XPATH=/PG(0)","http://ovidsp.ovid.com/ovidweb.cgi?T=JS&amp;NEWS=n&amp;CSC=Y&amp;PAGE=booktext&amp;D=books&amp;AN=01256989$&amp;XPATH=/PG(0)")</f>
        <v>http://ovidsp.ovid.com/ovidweb.cgi?T=JS&amp;NEWS=n&amp;CSC=Y&amp;PAGE=booktext&amp;D=books&amp;AN=01256989$&amp;XPATH=/PG(0)</v>
      </c>
      <c r="G41" s="2" t="s">
        <v>17</v>
      </c>
    </row>
    <row r="42" spans="1:7" x14ac:dyDescent="0.15">
      <c r="A42" s="2" t="s">
        <v>138</v>
      </c>
      <c r="B42" s="2" t="s">
        <v>139</v>
      </c>
      <c r="C42" s="2" t="s">
        <v>140</v>
      </c>
      <c r="D42" s="2" t="s">
        <v>10</v>
      </c>
      <c r="E42" s="2" t="s">
        <v>45</v>
      </c>
      <c r="F42" s="3" t="str">
        <f>HYPERLINK("http://ovidsp.ovid.com/ovidweb.cgi?T=JS&amp;NEWS=n&amp;CSC=Y&amp;PAGE=booktext&amp;D=books&amp;AN=01382422$&amp;XPATH=/PG(0)","http://ovidsp.ovid.com/ovidweb.cgi?T=JS&amp;NEWS=n&amp;CSC=Y&amp;PAGE=booktext&amp;D=books&amp;AN=01382422$&amp;XPATH=/PG(0)")</f>
        <v>http://ovidsp.ovid.com/ovidweb.cgi?T=JS&amp;NEWS=n&amp;CSC=Y&amp;PAGE=booktext&amp;D=books&amp;AN=01382422$&amp;XPATH=/PG(0)</v>
      </c>
      <c r="G42" s="2" t="s">
        <v>12</v>
      </c>
    </row>
    <row r="43" spans="1:7" x14ac:dyDescent="0.15">
      <c r="A43" s="2" t="s">
        <v>141</v>
      </c>
      <c r="B43" s="2" t="s">
        <v>142</v>
      </c>
      <c r="C43" s="2" t="s">
        <v>143</v>
      </c>
      <c r="D43" s="2" t="s">
        <v>10</v>
      </c>
      <c r="E43" s="2" t="s">
        <v>16</v>
      </c>
      <c r="F43" s="3" t="str">
        <f>HYPERLINK("http://ovidsp.ovid.com/ovidweb.cgi?T=JS&amp;NEWS=n&amp;CSC=Y&amp;PAGE=booktext&amp;D=books&amp;AN=01337155$&amp;XPATH=/PG(0)","http://ovidsp.ovid.com/ovidweb.cgi?T=JS&amp;NEWS=n&amp;CSC=Y&amp;PAGE=booktext&amp;D=books&amp;AN=01337155$&amp;XPATH=/PG(0)")</f>
        <v>http://ovidsp.ovid.com/ovidweb.cgi?T=JS&amp;NEWS=n&amp;CSC=Y&amp;PAGE=booktext&amp;D=books&amp;AN=01337155$&amp;XPATH=/PG(0)</v>
      </c>
      <c r="G43" s="2" t="s">
        <v>12</v>
      </c>
    </row>
    <row r="44" spans="1:7" x14ac:dyDescent="0.15">
      <c r="A44" s="2" t="s">
        <v>144</v>
      </c>
      <c r="B44" s="2" t="s">
        <v>145</v>
      </c>
      <c r="C44" s="2" t="s">
        <v>146</v>
      </c>
      <c r="D44" s="2" t="s">
        <v>10</v>
      </c>
      <c r="E44" s="2" t="s">
        <v>53</v>
      </c>
      <c r="F44" s="3" t="str">
        <f>HYPERLINK("http://ovidsp.ovid.com/ovidweb.cgi?T=JS&amp;NEWS=n&amp;CSC=Y&amp;PAGE=booktext&amp;D=books&amp;AN=01222974$&amp;XPATH=/PG(0)","http://ovidsp.ovid.com/ovidweb.cgi?T=JS&amp;NEWS=n&amp;CSC=Y&amp;PAGE=booktext&amp;D=books&amp;AN=01222974$&amp;XPATH=/PG(0)")</f>
        <v>http://ovidsp.ovid.com/ovidweb.cgi?T=JS&amp;NEWS=n&amp;CSC=Y&amp;PAGE=booktext&amp;D=books&amp;AN=01222974$&amp;XPATH=/PG(0)</v>
      </c>
      <c r="G44" s="2" t="s">
        <v>17</v>
      </c>
    </row>
    <row r="45" spans="1:7" x14ac:dyDescent="0.15">
      <c r="A45" s="2" t="s">
        <v>147</v>
      </c>
      <c r="B45" s="2" t="s">
        <v>148</v>
      </c>
      <c r="C45" s="2" t="s">
        <v>149</v>
      </c>
      <c r="D45" s="2" t="s">
        <v>10</v>
      </c>
      <c r="E45" s="2" t="s">
        <v>53</v>
      </c>
      <c r="F45" s="3" t="str">
        <f>HYPERLINK("http://ovidsp.ovid.com/ovidweb.cgi?T=JS&amp;NEWS=n&amp;CSC=Y&amp;PAGE=booktext&amp;D=books&amp;AN=01382423$&amp;XPATH=/PG(0)","http://ovidsp.ovid.com/ovidweb.cgi?T=JS&amp;NEWS=n&amp;CSC=Y&amp;PAGE=booktext&amp;D=books&amp;AN=01382423$&amp;XPATH=/PG(0)")</f>
        <v>http://ovidsp.ovid.com/ovidweb.cgi?T=JS&amp;NEWS=n&amp;CSC=Y&amp;PAGE=booktext&amp;D=books&amp;AN=01382423$&amp;XPATH=/PG(0)</v>
      </c>
      <c r="G45" s="2" t="s">
        <v>17</v>
      </c>
    </row>
    <row r="46" spans="1:7" x14ac:dyDescent="0.15">
      <c r="A46" s="2" t="s">
        <v>150</v>
      </c>
      <c r="B46" s="2" t="s">
        <v>151</v>
      </c>
      <c r="C46" s="2" t="s">
        <v>152</v>
      </c>
      <c r="D46" s="2" t="s">
        <v>10</v>
      </c>
      <c r="E46" s="2" t="s">
        <v>153</v>
      </c>
      <c r="F46" s="3" t="str">
        <f>HYPERLINK("http://ovidsp.ovid.com/ovidweb.cgi?T=JS&amp;NEWS=n&amp;CSC=Y&amp;PAGE=booktext&amp;D=books&amp;AN=00140026$&amp;XPATH=/PG(0)","http://ovidsp.ovid.com/ovidweb.cgi?T=JS&amp;NEWS=n&amp;CSC=Y&amp;PAGE=booktext&amp;D=books&amp;AN=00140026$&amp;XPATH=/PG(0)")</f>
        <v>http://ovidsp.ovid.com/ovidweb.cgi?T=JS&amp;NEWS=n&amp;CSC=Y&amp;PAGE=booktext&amp;D=books&amp;AN=00140026$&amp;XPATH=/PG(0)</v>
      </c>
      <c r="G46" s="2" t="s">
        <v>17</v>
      </c>
    </row>
    <row r="47" spans="1:7" x14ac:dyDescent="0.15">
      <c r="A47" s="2" t="s">
        <v>154</v>
      </c>
      <c r="B47" s="2" t="s">
        <v>155</v>
      </c>
      <c r="C47" s="2" t="s">
        <v>156</v>
      </c>
      <c r="D47" s="2" t="s">
        <v>10</v>
      </c>
      <c r="E47" s="2" t="s">
        <v>16</v>
      </c>
      <c r="F47" s="3" t="str">
        <f>HYPERLINK("http://ovidsp.ovid.com/ovidweb.cgi?T=JS&amp;NEWS=n&amp;CSC=Y&amp;PAGE=booktext&amp;D=books&amp;AN=01382424$&amp;XPATH=/PG(0)","http://ovidsp.ovid.com/ovidweb.cgi?T=JS&amp;NEWS=n&amp;CSC=Y&amp;PAGE=booktext&amp;D=books&amp;AN=01382424$&amp;XPATH=/PG(0)")</f>
        <v>http://ovidsp.ovid.com/ovidweb.cgi?T=JS&amp;NEWS=n&amp;CSC=Y&amp;PAGE=booktext&amp;D=books&amp;AN=01382424$&amp;XPATH=/PG(0)</v>
      </c>
      <c r="G47" s="2" t="s">
        <v>17</v>
      </c>
    </row>
    <row r="48" spans="1:7" x14ac:dyDescent="0.15">
      <c r="A48" s="2" t="s">
        <v>157</v>
      </c>
      <c r="B48" s="2" t="s">
        <v>158</v>
      </c>
      <c r="C48" s="2" t="s">
        <v>159</v>
      </c>
      <c r="D48" s="2" t="s">
        <v>10</v>
      </c>
      <c r="E48" s="2" t="s">
        <v>16</v>
      </c>
      <c r="F48" s="3" t="str">
        <f>HYPERLINK("http://ovidsp.ovid.com/ovidweb.cgi?T=JS&amp;NEWS=n&amp;CSC=Y&amp;PAGE=booktext&amp;D=books&amp;AN=01382868$&amp;XPATH=/PG(0)","http://ovidsp.ovid.com/ovidweb.cgi?T=JS&amp;NEWS=n&amp;CSC=Y&amp;PAGE=booktext&amp;D=books&amp;AN=01382868$&amp;XPATH=/PG(0)")</f>
        <v>http://ovidsp.ovid.com/ovidweb.cgi?T=JS&amp;NEWS=n&amp;CSC=Y&amp;PAGE=booktext&amp;D=books&amp;AN=01382868$&amp;XPATH=/PG(0)</v>
      </c>
      <c r="G48" s="2" t="s">
        <v>12</v>
      </c>
    </row>
    <row r="49" spans="1:7" x14ac:dyDescent="0.15">
      <c r="A49" s="2" t="s">
        <v>160</v>
      </c>
      <c r="B49" s="2" t="s">
        <v>161</v>
      </c>
      <c r="C49" s="2" t="s">
        <v>162</v>
      </c>
      <c r="D49" s="2" t="s">
        <v>10</v>
      </c>
      <c r="E49" s="2" t="s">
        <v>49</v>
      </c>
      <c r="F49" s="3" t="str">
        <f>HYPERLINK("http://ovidsp.ovid.com/ovidweb.cgi?T=JS&amp;NEWS=n&amp;CSC=Y&amp;PAGE=booktext&amp;D=books&amp;AN=01382741$&amp;XPATH=/PG(0)","http://ovidsp.ovid.com/ovidweb.cgi?T=JS&amp;NEWS=n&amp;CSC=Y&amp;PAGE=booktext&amp;D=books&amp;AN=01382741$&amp;XPATH=/PG(0)")</f>
        <v>http://ovidsp.ovid.com/ovidweb.cgi?T=JS&amp;NEWS=n&amp;CSC=Y&amp;PAGE=booktext&amp;D=books&amp;AN=01382741$&amp;XPATH=/PG(0)</v>
      </c>
      <c r="G49" s="2" t="s">
        <v>12</v>
      </c>
    </row>
    <row r="50" spans="1:7" x14ac:dyDescent="0.15">
      <c r="A50" s="2" t="s">
        <v>163</v>
      </c>
      <c r="B50" s="2" t="s">
        <v>164</v>
      </c>
      <c r="C50" s="2" t="s">
        <v>165</v>
      </c>
      <c r="D50" s="2" t="s">
        <v>10</v>
      </c>
      <c r="E50" s="2" t="s">
        <v>16</v>
      </c>
      <c r="F50" s="3" t="str">
        <f>HYPERLINK("http://ovidsp.ovid.com/ovidweb.cgi?T=JS&amp;NEWS=n&amp;CSC=Y&amp;PAGE=booktext&amp;D=books&amp;AN=01382832$&amp;XPATH=/PG(0)","http://ovidsp.ovid.com/ovidweb.cgi?T=JS&amp;NEWS=n&amp;CSC=Y&amp;PAGE=booktext&amp;D=books&amp;AN=01382832$&amp;XPATH=/PG(0)")</f>
        <v>http://ovidsp.ovid.com/ovidweb.cgi?T=JS&amp;NEWS=n&amp;CSC=Y&amp;PAGE=booktext&amp;D=books&amp;AN=01382832$&amp;XPATH=/PG(0)</v>
      </c>
      <c r="G50" s="2" t="s">
        <v>12</v>
      </c>
    </row>
    <row r="51" spans="1:7" x14ac:dyDescent="0.15">
      <c r="A51" s="2" t="s">
        <v>166</v>
      </c>
      <c r="B51" s="2" t="s">
        <v>167</v>
      </c>
      <c r="C51" s="2" t="s">
        <v>168</v>
      </c>
      <c r="D51" s="2" t="s">
        <v>10</v>
      </c>
      <c r="E51" s="2" t="s">
        <v>16</v>
      </c>
      <c r="F51" s="3" t="str">
        <f>HYPERLINK("http://ovidsp.ovid.com/ovidweb.cgi?T=JS&amp;NEWS=n&amp;CSC=Y&amp;PAGE=booktext&amp;D=books&amp;AN=01382852$&amp;XPATH=/PG(0)","http://ovidsp.ovid.com/ovidweb.cgi?T=JS&amp;NEWS=n&amp;CSC=Y&amp;PAGE=booktext&amp;D=books&amp;AN=01382852$&amp;XPATH=/PG(0)")</f>
        <v>http://ovidsp.ovid.com/ovidweb.cgi?T=JS&amp;NEWS=n&amp;CSC=Y&amp;PAGE=booktext&amp;D=books&amp;AN=01382852$&amp;XPATH=/PG(0)</v>
      </c>
      <c r="G51" s="2" t="s">
        <v>12</v>
      </c>
    </row>
    <row r="52" spans="1:7" x14ac:dyDescent="0.15">
      <c r="A52" s="2" t="s">
        <v>169</v>
      </c>
      <c r="B52" s="2" t="s">
        <v>170</v>
      </c>
      <c r="C52" s="2" t="s">
        <v>171</v>
      </c>
      <c r="D52" s="2" t="s">
        <v>10</v>
      </c>
      <c r="E52" s="2" t="s">
        <v>16</v>
      </c>
      <c r="F52" s="3" t="str">
        <f>HYPERLINK("http://ovidsp.ovid.com/ovidweb.cgi?T=JS&amp;NEWS=n&amp;CSC=Y&amp;PAGE=booktext&amp;D=books&amp;AN=01382735$&amp;XPATH=/PG(0)","http://ovidsp.ovid.com/ovidweb.cgi?T=JS&amp;NEWS=n&amp;CSC=Y&amp;PAGE=booktext&amp;D=books&amp;AN=01382735$&amp;XPATH=/PG(0)")</f>
        <v>http://ovidsp.ovid.com/ovidweb.cgi?T=JS&amp;NEWS=n&amp;CSC=Y&amp;PAGE=booktext&amp;D=books&amp;AN=01382735$&amp;XPATH=/PG(0)</v>
      </c>
      <c r="G52" s="2" t="s">
        <v>12</v>
      </c>
    </row>
    <row r="53" spans="1:7" x14ac:dyDescent="0.15">
      <c r="A53" s="2" t="s">
        <v>172</v>
      </c>
      <c r="B53" s="2" t="s">
        <v>173</v>
      </c>
      <c r="C53" s="2" t="s">
        <v>174</v>
      </c>
      <c r="D53" s="2" t="s">
        <v>10</v>
      </c>
      <c r="E53" s="2" t="s">
        <v>45</v>
      </c>
      <c r="F53" s="3" t="str">
        <f>HYPERLINK("http://ovidsp.ovid.com/ovidweb.cgi?T=JS&amp;NEWS=n&amp;CSC=Y&amp;PAGE=booktext&amp;D=books&amp;AN=01382425$&amp;XPATH=/PG(0)","http://ovidsp.ovid.com/ovidweb.cgi?T=JS&amp;NEWS=n&amp;CSC=Y&amp;PAGE=booktext&amp;D=books&amp;AN=01382425$&amp;XPATH=/PG(0)")</f>
        <v>http://ovidsp.ovid.com/ovidweb.cgi?T=JS&amp;NEWS=n&amp;CSC=Y&amp;PAGE=booktext&amp;D=books&amp;AN=01382425$&amp;XPATH=/PG(0)</v>
      </c>
      <c r="G53" s="2" t="s">
        <v>17</v>
      </c>
    </row>
    <row r="54" spans="1:7" x14ac:dyDescent="0.15">
      <c r="A54" s="2" t="s">
        <v>175</v>
      </c>
      <c r="B54" s="2" t="s">
        <v>176</v>
      </c>
      <c r="C54" s="2" t="s">
        <v>177</v>
      </c>
      <c r="D54" s="2" t="s">
        <v>10</v>
      </c>
      <c r="E54" s="2" t="s">
        <v>16</v>
      </c>
      <c r="F54" s="3" t="str">
        <f>HYPERLINK("http://ovidsp.ovid.com/ovidweb.cgi?T=JS&amp;NEWS=n&amp;CSC=Y&amp;PAGE=booktext&amp;D=books&amp;AN=01382426$&amp;XPATH=/PG(0)","http://ovidsp.ovid.com/ovidweb.cgi?T=JS&amp;NEWS=n&amp;CSC=Y&amp;PAGE=booktext&amp;D=books&amp;AN=01382426$&amp;XPATH=/PG(0)")</f>
        <v>http://ovidsp.ovid.com/ovidweb.cgi?T=JS&amp;NEWS=n&amp;CSC=Y&amp;PAGE=booktext&amp;D=books&amp;AN=01382426$&amp;XPATH=/PG(0)</v>
      </c>
      <c r="G54" s="2" t="s">
        <v>17</v>
      </c>
    </row>
    <row r="55" spans="1:7" x14ac:dyDescent="0.15">
      <c r="A55" s="2" t="s">
        <v>178</v>
      </c>
      <c r="B55" s="2" t="s">
        <v>179</v>
      </c>
      <c r="C55" s="2" t="s">
        <v>180</v>
      </c>
      <c r="D55" s="2" t="s">
        <v>10</v>
      </c>
      <c r="E55" s="2" t="s">
        <v>45</v>
      </c>
      <c r="F55" s="3" t="str">
        <f>HYPERLINK("http://ovidsp.ovid.com/ovidweb.cgi?T=JS&amp;NEWS=n&amp;CSC=Y&amp;PAGE=booktext&amp;D=books&amp;AN=01279726$&amp;XPATH=/PG(0)","http://ovidsp.ovid.com/ovidweb.cgi?T=JS&amp;NEWS=n&amp;CSC=Y&amp;PAGE=booktext&amp;D=books&amp;AN=01279726$&amp;XPATH=/PG(0)")</f>
        <v>http://ovidsp.ovid.com/ovidweb.cgi?T=JS&amp;NEWS=n&amp;CSC=Y&amp;PAGE=booktext&amp;D=books&amp;AN=01279726$&amp;XPATH=/PG(0)</v>
      </c>
      <c r="G55" s="2" t="s">
        <v>17</v>
      </c>
    </row>
    <row r="56" spans="1:7" x14ac:dyDescent="0.15">
      <c r="A56" s="2" t="s">
        <v>181</v>
      </c>
      <c r="B56" s="2" t="s">
        <v>182</v>
      </c>
      <c r="C56" s="2" t="s">
        <v>183</v>
      </c>
      <c r="D56" s="2" t="s">
        <v>10</v>
      </c>
      <c r="E56" s="2" t="s">
        <v>16</v>
      </c>
      <c r="F56" s="3" t="str">
        <f>HYPERLINK("http://ovidsp.ovid.com/ovidweb.cgi?T=JS&amp;NEWS=n&amp;CSC=Y&amp;PAGE=booktext&amp;D=books&amp;AN=01382431$&amp;XPATH=/PG(0)","http://ovidsp.ovid.com/ovidweb.cgi?T=JS&amp;NEWS=n&amp;CSC=Y&amp;PAGE=booktext&amp;D=books&amp;AN=01382431$&amp;XPATH=/PG(0)")</f>
        <v>http://ovidsp.ovid.com/ovidweb.cgi?T=JS&amp;NEWS=n&amp;CSC=Y&amp;PAGE=booktext&amp;D=books&amp;AN=01382431$&amp;XPATH=/PG(0)</v>
      </c>
      <c r="G56" s="2" t="s">
        <v>17</v>
      </c>
    </row>
    <row r="57" spans="1:7" x14ac:dyDescent="0.15">
      <c r="A57" s="2" t="s">
        <v>184</v>
      </c>
      <c r="B57" s="2" t="s">
        <v>185</v>
      </c>
      <c r="C57" s="2" t="s">
        <v>186</v>
      </c>
      <c r="D57" s="2" t="s">
        <v>10</v>
      </c>
      <c r="E57" s="2" t="s">
        <v>16</v>
      </c>
      <c r="F57" s="3" t="str">
        <f>HYPERLINK("http://ovidsp.ovid.com/ovidweb.cgi?T=JS&amp;NEWS=n&amp;CSC=Y&amp;PAGE=booktext&amp;D=books&amp;AN=01279727$&amp;XPATH=/PG(0)","http://ovidsp.ovid.com/ovidweb.cgi?T=JS&amp;NEWS=n&amp;CSC=Y&amp;PAGE=booktext&amp;D=books&amp;AN=01279727$&amp;XPATH=/PG(0)")</f>
        <v>http://ovidsp.ovid.com/ovidweb.cgi?T=JS&amp;NEWS=n&amp;CSC=Y&amp;PAGE=booktext&amp;D=books&amp;AN=01279727$&amp;XPATH=/PG(0)</v>
      </c>
      <c r="G57" s="2" t="s">
        <v>17</v>
      </c>
    </row>
    <row r="58" spans="1:7" x14ac:dyDescent="0.15">
      <c r="A58" s="2" t="s">
        <v>187</v>
      </c>
      <c r="B58" s="2" t="s">
        <v>188</v>
      </c>
      <c r="C58" s="2" t="s">
        <v>189</v>
      </c>
      <c r="D58" s="2" t="s">
        <v>10</v>
      </c>
      <c r="E58" s="2" t="s">
        <v>16</v>
      </c>
      <c r="F58" s="3" t="str">
        <f>HYPERLINK("http://ovidsp.ovid.com/ovidweb.cgi?T=JS&amp;NEWS=n&amp;CSC=Y&amp;PAGE=booktext&amp;D=books&amp;AN=01382432$&amp;XPATH=/PG(0)","http://ovidsp.ovid.com/ovidweb.cgi?T=JS&amp;NEWS=n&amp;CSC=Y&amp;PAGE=booktext&amp;D=books&amp;AN=01382432$&amp;XPATH=/PG(0)")</f>
        <v>http://ovidsp.ovid.com/ovidweb.cgi?T=JS&amp;NEWS=n&amp;CSC=Y&amp;PAGE=booktext&amp;D=books&amp;AN=01382432$&amp;XPATH=/PG(0)</v>
      </c>
      <c r="G58" s="2" t="s">
        <v>17</v>
      </c>
    </row>
    <row r="59" spans="1:7" x14ac:dyDescent="0.15">
      <c r="A59" s="2" t="s">
        <v>190</v>
      </c>
      <c r="B59" s="2" t="s">
        <v>191</v>
      </c>
      <c r="C59" s="2" t="s">
        <v>192</v>
      </c>
      <c r="D59" s="2" t="s">
        <v>10</v>
      </c>
      <c r="E59" s="2" t="s">
        <v>16</v>
      </c>
      <c r="F59" s="3" t="str">
        <f>HYPERLINK("http://ovidsp.ovid.com/ovidweb.cgi?T=JS&amp;NEWS=n&amp;CSC=Y&amp;PAGE=booktext&amp;D=books&amp;AN=01382434$&amp;XPATH=/PG(0)","http://ovidsp.ovid.com/ovidweb.cgi?T=JS&amp;NEWS=n&amp;CSC=Y&amp;PAGE=booktext&amp;D=books&amp;AN=01382434$&amp;XPATH=/PG(0)")</f>
        <v>http://ovidsp.ovid.com/ovidweb.cgi?T=JS&amp;NEWS=n&amp;CSC=Y&amp;PAGE=booktext&amp;D=books&amp;AN=01382434$&amp;XPATH=/PG(0)</v>
      </c>
      <c r="G59" s="2" t="s">
        <v>17</v>
      </c>
    </row>
    <row r="60" spans="1:7" x14ac:dyDescent="0.15">
      <c r="A60" s="2" t="s">
        <v>193</v>
      </c>
      <c r="B60" s="2" t="s">
        <v>194</v>
      </c>
      <c r="C60" s="2" t="s">
        <v>195</v>
      </c>
      <c r="D60" s="2" t="s">
        <v>10</v>
      </c>
      <c r="E60" s="2" t="s">
        <v>16</v>
      </c>
      <c r="F60" s="3" t="str">
        <f>HYPERLINK("http://ovidsp.ovid.com/ovidweb.cgi?T=JS&amp;NEWS=n&amp;CSC=Y&amp;PAGE=booktext&amp;D=books&amp;AN=01382476$&amp;XPATH=/PG(0)","http://ovidsp.ovid.com/ovidweb.cgi?T=JS&amp;NEWS=n&amp;CSC=Y&amp;PAGE=booktext&amp;D=books&amp;AN=01382476$&amp;XPATH=/PG(0)")</f>
        <v>http://ovidsp.ovid.com/ovidweb.cgi?T=JS&amp;NEWS=n&amp;CSC=Y&amp;PAGE=booktext&amp;D=books&amp;AN=01382476$&amp;XPATH=/PG(0)</v>
      </c>
      <c r="G60" s="2" t="s">
        <v>17</v>
      </c>
    </row>
    <row r="61" spans="1:7" x14ac:dyDescent="0.15">
      <c r="A61" s="2" t="s">
        <v>196</v>
      </c>
      <c r="B61" s="2" t="s">
        <v>197</v>
      </c>
      <c r="C61" s="2" t="s">
        <v>198</v>
      </c>
      <c r="D61" s="2" t="s">
        <v>10</v>
      </c>
      <c r="E61" s="2" t="s">
        <v>16</v>
      </c>
      <c r="F61" s="3" t="str">
        <f>HYPERLINK("http://ovidsp.ovid.com/ovidweb.cgi?T=JS&amp;NEWS=n&amp;CSC=Y&amp;PAGE=booktext&amp;D=books&amp;AN=01382435$&amp;XPATH=/PG(0)","http://ovidsp.ovid.com/ovidweb.cgi?T=JS&amp;NEWS=n&amp;CSC=Y&amp;PAGE=booktext&amp;D=books&amp;AN=01382435$&amp;XPATH=/PG(0)")</f>
        <v>http://ovidsp.ovid.com/ovidweb.cgi?T=JS&amp;NEWS=n&amp;CSC=Y&amp;PAGE=booktext&amp;D=books&amp;AN=01382435$&amp;XPATH=/PG(0)</v>
      </c>
      <c r="G61" s="2" t="s">
        <v>17</v>
      </c>
    </row>
    <row r="62" spans="1:7" x14ac:dyDescent="0.15">
      <c r="A62" s="2" t="s">
        <v>199</v>
      </c>
      <c r="B62" s="2" t="s">
        <v>200</v>
      </c>
      <c r="C62" s="2" t="s">
        <v>201</v>
      </c>
      <c r="D62" s="2" t="s">
        <v>10</v>
      </c>
      <c r="E62" s="2" t="s">
        <v>95</v>
      </c>
      <c r="F62" s="3" t="str">
        <f>HYPERLINK("http://ovidsp.ovid.com/ovidweb.cgi?T=JS&amp;NEWS=n&amp;CSC=Y&amp;PAGE=booktext&amp;D=books&amp;AN=01256993$&amp;XPATH=/PG(0)","http://ovidsp.ovid.com/ovidweb.cgi?T=JS&amp;NEWS=n&amp;CSC=Y&amp;PAGE=booktext&amp;D=books&amp;AN=01256993$&amp;XPATH=/PG(0)")</f>
        <v>http://ovidsp.ovid.com/ovidweb.cgi?T=JS&amp;NEWS=n&amp;CSC=Y&amp;PAGE=booktext&amp;D=books&amp;AN=01256993$&amp;XPATH=/PG(0)</v>
      </c>
      <c r="G62" s="2" t="s">
        <v>17</v>
      </c>
    </row>
    <row r="63" spans="1:7" x14ac:dyDescent="0.15">
      <c r="A63" s="2" t="s">
        <v>202</v>
      </c>
      <c r="B63" s="2" t="s">
        <v>203</v>
      </c>
      <c r="C63" s="2" t="s">
        <v>204</v>
      </c>
      <c r="D63" s="2" t="s">
        <v>10</v>
      </c>
      <c r="E63" s="2" t="s">
        <v>16</v>
      </c>
      <c r="F63" s="3" t="str">
        <f>HYPERLINK("http://ovidsp.ovid.com/ovidweb.cgi?T=JS&amp;NEWS=n&amp;CSC=Y&amp;PAGE=booktext&amp;D=books&amp;AN=01382436$&amp;XPATH=/PG(0)","http://ovidsp.ovid.com/ovidweb.cgi?T=JS&amp;NEWS=n&amp;CSC=Y&amp;PAGE=booktext&amp;D=books&amp;AN=01382436$&amp;XPATH=/PG(0)")</f>
        <v>http://ovidsp.ovid.com/ovidweb.cgi?T=JS&amp;NEWS=n&amp;CSC=Y&amp;PAGE=booktext&amp;D=books&amp;AN=01382436$&amp;XPATH=/PG(0)</v>
      </c>
      <c r="G63" s="2" t="s">
        <v>17</v>
      </c>
    </row>
    <row r="64" spans="1:7" x14ac:dyDescent="0.15">
      <c r="A64" s="2" t="s">
        <v>205</v>
      </c>
      <c r="B64" s="2" t="s">
        <v>206</v>
      </c>
      <c r="C64" s="2" t="s">
        <v>207</v>
      </c>
      <c r="D64" s="2" t="s">
        <v>10</v>
      </c>
      <c r="E64" s="2" t="s">
        <v>95</v>
      </c>
      <c r="F64" s="3" t="str">
        <f>HYPERLINK("http://ovidsp.ovid.com/ovidweb.cgi?T=JS&amp;NEWS=n&amp;CSC=Y&amp;PAGE=booktext&amp;D=books&amp;AN=01382437$&amp;XPATH=/PG(0)","http://ovidsp.ovid.com/ovidweb.cgi?T=JS&amp;NEWS=n&amp;CSC=Y&amp;PAGE=booktext&amp;D=books&amp;AN=01382437$&amp;XPATH=/PG(0)")</f>
        <v>http://ovidsp.ovid.com/ovidweb.cgi?T=JS&amp;NEWS=n&amp;CSC=Y&amp;PAGE=booktext&amp;D=books&amp;AN=01382437$&amp;XPATH=/PG(0)</v>
      </c>
      <c r="G64" s="2" t="s">
        <v>17</v>
      </c>
    </row>
    <row r="65" spans="1:7" x14ac:dyDescent="0.15">
      <c r="A65" s="2" t="s">
        <v>208</v>
      </c>
      <c r="B65" s="2" t="s">
        <v>209</v>
      </c>
      <c r="C65" s="2" t="s">
        <v>210</v>
      </c>
      <c r="D65" s="2" t="s">
        <v>10</v>
      </c>
      <c r="E65" s="2" t="s">
        <v>16</v>
      </c>
      <c r="F65" s="3" t="str">
        <f>HYPERLINK("http://ovidsp.ovid.com/ovidweb.cgi?T=JS&amp;NEWS=n&amp;CSC=Y&amp;PAGE=booktext&amp;D=books&amp;AN=01382438$&amp;XPATH=/PG(0)","http://ovidsp.ovid.com/ovidweb.cgi?T=JS&amp;NEWS=n&amp;CSC=Y&amp;PAGE=booktext&amp;D=books&amp;AN=01382438$&amp;XPATH=/PG(0)")</f>
        <v>http://ovidsp.ovid.com/ovidweb.cgi?T=JS&amp;NEWS=n&amp;CSC=Y&amp;PAGE=booktext&amp;D=books&amp;AN=01382438$&amp;XPATH=/PG(0)</v>
      </c>
      <c r="G65" s="2" t="s">
        <v>17</v>
      </c>
    </row>
    <row r="66" spans="1:7" x14ac:dyDescent="0.15">
      <c r="A66" s="2" t="s">
        <v>211</v>
      </c>
      <c r="B66" s="2" t="s">
        <v>212</v>
      </c>
      <c r="C66" s="2" t="s">
        <v>213</v>
      </c>
      <c r="D66" s="2" t="s">
        <v>10</v>
      </c>
      <c r="E66" s="2" t="s">
        <v>16</v>
      </c>
      <c r="F66" s="3" t="str">
        <f>HYPERLINK("http://ovidsp.ovid.com/ovidweb.cgi?T=JS&amp;NEWS=n&amp;CSC=Y&amp;PAGE=booktext&amp;D=books&amp;AN=01382440$&amp;XPATH=/PG(0)","http://ovidsp.ovid.com/ovidweb.cgi?T=JS&amp;NEWS=n&amp;CSC=Y&amp;PAGE=booktext&amp;D=books&amp;AN=01382440$&amp;XPATH=/PG(0)")</f>
        <v>http://ovidsp.ovid.com/ovidweb.cgi?T=JS&amp;NEWS=n&amp;CSC=Y&amp;PAGE=booktext&amp;D=books&amp;AN=01382440$&amp;XPATH=/PG(0)</v>
      </c>
      <c r="G66" s="2" t="s">
        <v>17</v>
      </c>
    </row>
    <row r="67" spans="1:7" x14ac:dyDescent="0.15">
      <c r="A67" s="2" t="s">
        <v>214</v>
      </c>
      <c r="B67" s="2" t="s">
        <v>215</v>
      </c>
      <c r="C67" s="2" t="s">
        <v>216</v>
      </c>
      <c r="D67" s="2" t="s">
        <v>10</v>
      </c>
      <c r="E67" s="2" t="s">
        <v>16</v>
      </c>
      <c r="F67" s="3" t="str">
        <f>HYPERLINK("http://ovidsp.ovid.com/ovidweb.cgi?T=JS&amp;NEWS=n&amp;CSC=Y&amp;PAGE=booktext&amp;D=books&amp;AN=01222975$&amp;XPATH=/PG(0)","http://ovidsp.ovid.com/ovidweb.cgi?T=JS&amp;NEWS=n&amp;CSC=Y&amp;PAGE=booktext&amp;D=books&amp;AN=01222975$&amp;XPATH=/PG(0)")</f>
        <v>http://ovidsp.ovid.com/ovidweb.cgi?T=JS&amp;NEWS=n&amp;CSC=Y&amp;PAGE=booktext&amp;D=books&amp;AN=01222975$&amp;XPATH=/PG(0)</v>
      </c>
      <c r="G67" s="2" t="s">
        <v>17</v>
      </c>
    </row>
    <row r="68" spans="1:7" x14ac:dyDescent="0.15">
      <c r="A68" s="2" t="s">
        <v>217</v>
      </c>
      <c r="B68" s="2" t="s">
        <v>218</v>
      </c>
      <c r="C68" s="2" t="s">
        <v>219</v>
      </c>
      <c r="D68" s="2" t="s">
        <v>10</v>
      </c>
      <c r="E68" s="2" t="s">
        <v>49</v>
      </c>
      <c r="F68" s="3" t="str">
        <f>HYPERLINK("http://ovidsp.ovid.com/ovidweb.cgi?T=JS&amp;NEWS=n&amp;CSC=Y&amp;PAGE=booktext&amp;D=books&amp;AN=01279698$&amp;XPATH=/PG(0)","http://ovidsp.ovid.com/ovidweb.cgi?T=JS&amp;NEWS=n&amp;CSC=Y&amp;PAGE=booktext&amp;D=books&amp;AN=01279698$&amp;XPATH=/PG(0)")</f>
        <v>http://ovidsp.ovid.com/ovidweb.cgi?T=JS&amp;NEWS=n&amp;CSC=Y&amp;PAGE=booktext&amp;D=books&amp;AN=01279698$&amp;XPATH=/PG(0)</v>
      </c>
      <c r="G68" s="2" t="s">
        <v>17</v>
      </c>
    </row>
    <row r="69" spans="1:7" x14ac:dyDescent="0.15">
      <c r="A69" s="2" t="s">
        <v>220</v>
      </c>
      <c r="B69" s="2" t="s">
        <v>221</v>
      </c>
      <c r="C69" s="2" t="s">
        <v>222</v>
      </c>
      <c r="D69" s="2" t="s">
        <v>10</v>
      </c>
      <c r="E69" s="2" t="s">
        <v>45</v>
      </c>
      <c r="F69" s="3" t="str">
        <f>HYPERLINK("http://ovidsp.ovid.com/ovidweb.cgi?T=JS&amp;NEWS=n&amp;CSC=Y&amp;PAGE=booktext&amp;D=books&amp;AN=01256990$&amp;XPATH=/PG(0)","http://ovidsp.ovid.com/ovidweb.cgi?T=JS&amp;NEWS=n&amp;CSC=Y&amp;PAGE=booktext&amp;D=books&amp;AN=01256990$&amp;XPATH=/PG(0)")</f>
        <v>http://ovidsp.ovid.com/ovidweb.cgi?T=JS&amp;NEWS=n&amp;CSC=Y&amp;PAGE=booktext&amp;D=books&amp;AN=01256990$&amp;XPATH=/PG(0)</v>
      </c>
      <c r="G69" s="2" t="s">
        <v>17</v>
      </c>
    </row>
    <row r="70" spans="1:7" x14ac:dyDescent="0.15">
      <c r="A70" s="2" t="s">
        <v>223</v>
      </c>
      <c r="B70" s="2" t="s">
        <v>224</v>
      </c>
      <c r="C70" s="2" t="s">
        <v>225</v>
      </c>
      <c r="D70" s="2" t="s">
        <v>10</v>
      </c>
      <c r="E70" s="2" t="s">
        <v>16</v>
      </c>
      <c r="F70" s="3" t="str">
        <f>HYPERLINK("http://ovidsp.ovid.com/ovidweb.cgi?T=JS&amp;NEWS=n&amp;CSC=Y&amp;PAGE=booktext&amp;D=books&amp;AN=01279729$&amp;XPATH=/PG(0)","http://ovidsp.ovid.com/ovidweb.cgi?T=JS&amp;NEWS=n&amp;CSC=Y&amp;PAGE=booktext&amp;D=books&amp;AN=01279729$&amp;XPATH=/PG(0)")</f>
        <v>http://ovidsp.ovid.com/ovidweb.cgi?T=JS&amp;NEWS=n&amp;CSC=Y&amp;PAGE=booktext&amp;D=books&amp;AN=01279729$&amp;XPATH=/PG(0)</v>
      </c>
      <c r="G70" s="2" t="s">
        <v>17</v>
      </c>
    </row>
    <row r="71" spans="1:7" x14ac:dyDescent="0.15">
      <c r="A71" s="2" t="s">
        <v>226</v>
      </c>
      <c r="B71" s="2" t="s">
        <v>227</v>
      </c>
      <c r="C71" s="2" t="s">
        <v>228</v>
      </c>
      <c r="D71" s="2" t="s">
        <v>10</v>
      </c>
      <c r="E71" s="2" t="s">
        <v>16</v>
      </c>
      <c r="F71" s="3" t="str">
        <f>HYPERLINK("http://ovidsp.ovid.com/ovidweb.cgi?T=JS&amp;NEWS=n&amp;CSC=Y&amp;PAGE=booktext&amp;D=books&amp;AN=01382439$&amp;XPATH=/PG(0)","http://ovidsp.ovid.com/ovidweb.cgi?T=JS&amp;NEWS=n&amp;CSC=Y&amp;PAGE=booktext&amp;D=books&amp;AN=01382439$&amp;XPATH=/PG(0)")</f>
        <v>http://ovidsp.ovid.com/ovidweb.cgi?T=JS&amp;NEWS=n&amp;CSC=Y&amp;PAGE=booktext&amp;D=books&amp;AN=01382439$&amp;XPATH=/PG(0)</v>
      </c>
      <c r="G71" s="2" t="s">
        <v>17</v>
      </c>
    </row>
    <row r="72" spans="1:7" x14ac:dyDescent="0.15">
      <c r="A72" s="2" t="s">
        <v>229</v>
      </c>
      <c r="B72" s="2" t="s">
        <v>230</v>
      </c>
      <c r="C72" s="2" t="s">
        <v>231</v>
      </c>
      <c r="D72" s="2" t="s">
        <v>10</v>
      </c>
      <c r="E72" s="2" t="s">
        <v>45</v>
      </c>
      <c r="F72" s="3" t="str">
        <f>HYPERLINK("http://ovidsp.ovid.com/ovidweb.cgi?T=JS&amp;NEWS=n&amp;CSC=Y&amp;PAGE=booktext&amp;D=books&amp;AN=01256991$&amp;XPATH=/PG(0)","http://ovidsp.ovid.com/ovidweb.cgi?T=JS&amp;NEWS=n&amp;CSC=Y&amp;PAGE=booktext&amp;D=books&amp;AN=01256991$&amp;XPATH=/PG(0)")</f>
        <v>http://ovidsp.ovid.com/ovidweb.cgi?T=JS&amp;NEWS=n&amp;CSC=Y&amp;PAGE=booktext&amp;D=books&amp;AN=01256991$&amp;XPATH=/PG(0)</v>
      </c>
      <c r="G72" s="2" t="s">
        <v>17</v>
      </c>
    </row>
    <row r="73" spans="1:7" x14ac:dyDescent="0.15">
      <c r="A73" s="2" t="s">
        <v>232</v>
      </c>
      <c r="B73" s="2" t="s">
        <v>233</v>
      </c>
      <c r="C73" s="2" t="s">
        <v>234</v>
      </c>
      <c r="D73" s="2" t="s">
        <v>10</v>
      </c>
      <c r="E73" s="2" t="s">
        <v>235</v>
      </c>
      <c r="F73" s="3" t="str">
        <f>HYPERLINK("http://ovidsp.ovid.com/ovidweb.cgi?T=JS&amp;NEWS=n&amp;CSC=Y&amp;PAGE=booktext&amp;D=books&amp;AN=01222976$&amp;XPATH=/PG(0)","http://ovidsp.ovid.com/ovidweb.cgi?T=JS&amp;NEWS=n&amp;CSC=Y&amp;PAGE=booktext&amp;D=books&amp;AN=01222976$&amp;XPATH=/PG(0)")</f>
        <v>http://ovidsp.ovid.com/ovidweb.cgi?T=JS&amp;NEWS=n&amp;CSC=Y&amp;PAGE=booktext&amp;D=books&amp;AN=01222976$&amp;XPATH=/PG(0)</v>
      </c>
      <c r="G73" s="2" t="s">
        <v>17</v>
      </c>
    </row>
    <row r="74" spans="1:7" x14ac:dyDescent="0.15">
      <c r="A74" s="2" t="s">
        <v>236</v>
      </c>
      <c r="B74" s="2" t="s">
        <v>237</v>
      </c>
      <c r="C74" s="2" t="s">
        <v>238</v>
      </c>
      <c r="D74" s="2" t="s">
        <v>10</v>
      </c>
      <c r="E74" s="2" t="s">
        <v>16</v>
      </c>
      <c r="F74" s="3" t="str">
        <f>HYPERLINK("http://ovidsp.ovid.com/ovidweb.cgi?T=JS&amp;NEWS=n&amp;CSC=Y&amp;PAGE=booktext&amp;D=books&amp;AN=01382441$&amp;XPATH=/PG(0)","http://ovidsp.ovid.com/ovidweb.cgi?T=JS&amp;NEWS=n&amp;CSC=Y&amp;PAGE=booktext&amp;D=books&amp;AN=01382441$&amp;XPATH=/PG(0)")</f>
        <v>http://ovidsp.ovid.com/ovidweb.cgi?T=JS&amp;NEWS=n&amp;CSC=Y&amp;PAGE=booktext&amp;D=books&amp;AN=01382441$&amp;XPATH=/PG(0)</v>
      </c>
      <c r="G74" s="2" t="s">
        <v>17</v>
      </c>
    </row>
    <row r="75" spans="1:7" x14ac:dyDescent="0.15">
      <c r="A75" s="2" t="s">
        <v>239</v>
      </c>
      <c r="B75" s="2" t="s">
        <v>240</v>
      </c>
      <c r="C75" s="2" t="s">
        <v>241</v>
      </c>
      <c r="D75" s="2" t="s">
        <v>10</v>
      </c>
      <c r="E75" s="2" t="s">
        <v>16</v>
      </c>
      <c r="F75" s="3" t="str">
        <f>HYPERLINK("http://ovidsp.ovid.com/ovidweb.cgi?T=JS&amp;NEWS=n&amp;CSC=Y&amp;PAGE=booktext&amp;D=books&amp;AN=01279730$&amp;XPATH=/PG(0)","http://ovidsp.ovid.com/ovidweb.cgi?T=JS&amp;NEWS=n&amp;CSC=Y&amp;PAGE=booktext&amp;D=books&amp;AN=01279730$&amp;XPATH=/PG(0)")</f>
        <v>http://ovidsp.ovid.com/ovidweb.cgi?T=JS&amp;NEWS=n&amp;CSC=Y&amp;PAGE=booktext&amp;D=books&amp;AN=01279730$&amp;XPATH=/PG(0)</v>
      </c>
      <c r="G75" s="2" t="s">
        <v>17</v>
      </c>
    </row>
    <row r="76" spans="1:7" x14ac:dyDescent="0.15">
      <c r="A76" s="2" t="s">
        <v>242</v>
      </c>
      <c r="B76" s="2" t="s">
        <v>243</v>
      </c>
      <c r="C76" s="2" t="s">
        <v>244</v>
      </c>
      <c r="D76" s="2" t="s">
        <v>10</v>
      </c>
      <c r="E76" s="2" t="s">
        <v>16</v>
      </c>
      <c r="F76" s="3" t="str">
        <f>HYPERLINK("http://ovidsp.ovid.com/ovidweb.cgi?T=JS&amp;NEWS=n&amp;CSC=Y&amp;PAGE=booktext&amp;D=books&amp;AN=01337660$&amp;XPATH=/PG(0)","http://ovidsp.ovid.com/ovidweb.cgi?T=JS&amp;NEWS=n&amp;CSC=Y&amp;PAGE=booktext&amp;D=books&amp;AN=01337660$&amp;XPATH=/PG(0)")</f>
        <v>http://ovidsp.ovid.com/ovidweb.cgi?T=JS&amp;NEWS=n&amp;CSC=Y&amp;PAGE=booktext&amp;D=books&amp;AN=01337660$&amp;XPATH=/PG(0)</v>
      </c>
      <c r="G76" s="2" t="s">
        <v>17</v>
      </c>
    </row>
    <row r="77" spans="1:7" x14ac:dyDescent="0.15">
      <c r="A77" s="2" t="s">
        <v>245</v>
      </c>
      <c r="B77" s="2" t="s">
        <v>246</v>
      </c>
      <c r="C77" s="2" t="s">
        <v>247</v>
      </c>
      <c r="D77" s="2" t="s">
        <v>10</v>
      </c>
      <c r="E77" s="2" t="s">
        <v>16</v>
      </c>
      <c r="F77" s="3" t="str">
        <f>HYPERLINK("http://ovidsp.ovid.com/ovidweb.cgi?T=JS&amp;NEWS=n&amp;CSC=Y&amp;PAGE=booktext&amp;D=books&amp;AN=01382442$&amp;XPATH=/PG(0)","http://ovidsp.ovid.com/ovidweb.cgi?T=JS&amp;NEWS=n&amp;CSC=Y&amp;PAGE=booktext&amp;D=books&amp;AN=01382442$&amp;XPATH=/PG(0)")</f>
        <v>http://ovidsp.ovid.com/ovidweb.cgi?T=JS&amp;NEWS=n&amp;CSC=Y&amp;PAGE=booktext&amp;D=books&amp;AN=01382442$&amp;XPATH=/PG(0)</v>
      </c>
      <c r="G77" s="2" t="s">
        <v>17</v>
      </c>
    </row>
    <row r="78" spans="1:7" x14ac:dyDescent="0.15">
      <c r="A78" s="2" t="s">
        <v>248</v>
      </c>
      <c r="B78" s="2" t="s">
        <v>249</v>
      </c>
      <c r="C78" s="2" t="s">
        <v>250</v>
      </c>
      <c r="D78" s="2" t="s">
        <v>10</v>
      </c>
      <c r="E78" s="2" t="s">
        <v>251</v>
      </c>
      <c r="F78" s="3" t="str">
        <f>HYPERLINK("http://ovidsp.ovid.com/ovidweb.cgi?T=JS&amp;NEWS=n&amp;CSC=Y&amp;PAGE=booktext&amp;D=books&amp;AN=01271249$&amp;XPATH=/PG(0)","http://ovidsp.ovid.com/ovidweb.cgi?T=JS&amp;NEWS=n&amp;CSC=Y&amp;PAGE=booktext&amp;D=books&amp;AN=01271249$&amp;XPATH=/PG(0)")</f>
        <v>http://ovidsp.ovid.com/ovidweb.cgi?T=JS&amp;NEWS=n&amp;CSC=Y&amp;PAGE=booktext&amp;D=books&amp;AN=01271249$&amp;XPATH=/PG(0)</v>
      </c>
      <c r="G78" s="2" t="s">
        <v>12</v>
      </c>
    </row>
    <row r="79" spans="1:7" x14ac:dyDescent="0.15">
      <c r="A79" s="2" t="s">
        <v>248</v>
      </c>
      <c r="B79" s="2" t="s">
        <v>252</v>
      </c>
      <c r="C79" s="2" t="s">
        <v>253</v>
      </c>
      <c r="D79" s="2" t="s">
        <v>10</v>
      </c>
      <c r="E79" s="2" t="s">
        <v>235</v>
      </c>
      <c r="F79" s="3" t="str">
        <f>HYPERLINK("http://ovidsp.ovid.com/ovidweb.cgi?T=JS&amp;NEWS=n&amp;CSC=Y&amp;PAGE=booktext&amp;D=books&amp;AN=01222977$&amp;XPATH=/PG(0)","http://ovidsp.ovid.com/ovidweb.cgi?T=JS&amp;NEWS=n&amp;CSC=Y&amp;PAGE=booktext&amp;D=books&amp;AN=01222977$&amp;XPATH=/PG(0)")</f>
        <v>http://ovidsp.ovid.com/ovidweb.cgi?T=JS&amp;NEWS=n&amp;CSC=Y&amp;PAGE=booktext&amp;D=books&amp;AN=01222977$&amp;XPATH=/PG(0)</v>
      </c>
      <c r="G79" s="2" t="s">
        <v>12</v>
      </c>
    </row>
    <row r="80" spans="1:7" x14ac:dyDescent="0.15">
      <c r="A80" s="2" t="s">
        <v>254</v>
      </c>
      <c r="B80" s="2" t="s">
        <v>255</v>
      </c>
      <c r="C80" s="2" t="s">
        <v>256</v>
      </c>
      <c r="D80" s="2" t="s">
        <v>10</v>
      </c>
      <c r="E80" s="2" t="s">
        <v>95</v>
      </c>
      <c r="F80" s="3" t="str">
        <f>HYPERLINK("http://ovidsp.ovid.com/ovidweb.cgi?T=JS&amp;NEWS=n&amp;CSC=Y&amp;PAGE=booktext&amp;D=books&amp;AN=01382443$&amp;XPATH=/PG(0)","http://ovidsp.ovid.com/ovidweb.cgi?T=JS&amp;NEWS=n&amp;CSC=Y&amp;PAGE=booktext&amp;D=books&amp;AN=01382443$&amp;XPATH=/PG(0)")</f>
        <v>http://ovidsp.ovid.com/ovidweb.cgi?T=JS&amp;NEWS=n&amp;CSC=Y&amp;PAGE=booktext&amp;D=books&amp;AN=01382443$&amp;XPATH=/PG(0)</v>
      </c>
      <c r="G80" s="2" t="s">
        <v>17</v>
      </c>
    </row>
    <row r="81" spans="1:7" x14ac:dyDescent="0.15">
      <c r="A81" s="2" t="s">
        <v>257</v>
      </c>
      <c r="B81" s="2" t="s">
        <v>258</v>
      </c>
      <c r="C81" s="2" t="s">
        <v>259</v>
      </c>
      <c r="D81" s="2" t="s">
        <v>10</v>
      </c>
      <c r="E81" s="2" t="s">
        <v>45</v>
      </c>
      <c r="F81" s="3" t="str">
        <f>HYPERLINK("http://ovidsp.ovid.com/ovidweb.cgi?T=JS&amp;NEWS=n&amp;CSC=Y&amp;PAGE=booktext&amp;D=books&amp;AN=01382445$&amp;XPATH=/PG(0)","http://ovidsp.ovid.com/ovidweb.cgi?T=JS&amp;NEWS=n&amp;CSC=Y&amp;PAGE=booktext&amp;D=books&amp;AN=01382445$&amp;XPATH=/PG(0)")</f>
        <v>http://ovidsp.ovid.com/ovidweb.cgi?T=JS&amp;NEWS=n&amp;CSC=Y&amp;PAGE=booktext&amp;D=books&amp;AN=01382445$&amp;XPATH=/PG(0)</v>
      </c>
      <c r="G81" s="2" t="s">
        <v>17</v>
      </c>
    </row>
    <row r="82" spans="1:7" x14ac:dyDescent="0.15">
      <c r="A82" s="2" t="s">
        <v>260</v>
      </c>
      <c r="B82" s="2" t="s">
        <v>261</v>
      </c>
      <c r="C82" s="2" t="s">
        <v>262</v>
      </c>
      <c r="D82" s="2" t="s">
        <v>10</v>
      </c>
      <c r="E82" s="2" t="s">
        <v>16</v>
      </c>
      <c r="F82" s="3" t="str">
        <f>HYPERLINK("http://ovidsp.ovid.com/ovidweb.cgi?T=JS&amp;NEWS=n&amp;CSC=Y&amp;PAGE=booktext&amp;D=books&amp;AN=01256992$&amp;XPATH=/PG(0)","http://ovidsp.ovid.com/ovidweb.cgi?T=JS&amp;NEWS=n&amp;CSC=Y&amp;PAGE=booktext&amp;D=books&amp;AN=01256992$&amp;XPATH=/PG(0)")</f>
        <v>http://ovidsp.ovid.com/ovidweb.cgi?T=JS&amp;NEWS=n&amp;CSC=Y&amp;PAGE=booktext&amp;D=books&amp;AN=01256992$&amp;XPATH=/PG(0)</v>
      </c>
      <c r="G82" s="2" t="s">
        <v>12</v>
      </c>
    </row>
    <row r="83" spans="1:7" x14ac:dyDescent="0.15">
      <c r="A83" s="2" t="s">
        <v>263</v>
      </c>
      <c r="B83" s="2" t="s">
        <v>264</v>
      </c>
      <c r="C83" s="2" t="s">
        <v>265</v>
      </c>
      <c r="D83" s="2" t="s">
        <v>10</v>
      </c>
      <c r="E83" s="2" t="s">
        <v>53</v>
      </c>
      <c r="F83" s="3" t="str">
        <f>HYPERLINK("http://ovidsp.ovid.com/ovidweb.cgi?T=JS&amp;NEWS=n&amp;CSC=Y&amp;PAGE=booktext&amp;D=books&amp;AN=01279699$&amp;XPATH=/PG(0)","http://ovidsp.ovid.com/ovidweb.cgi?T=JS&amp;NEWS=n&amp;CSC=Y&amp;PAGE=booktext&amp;D=books&amp;AN=01279699$&amp;XPATH=/PG(0)")</f>
        <v>http://ovidsp.ovid.com/ovidweb.cgi?T=JS&amp;NEWS=n&amp;CSC=Y&amp;PAGE=booktext&amp;D=books&amp;AN=01279699$&amp;XPATH=/PG(0)</v>
      </c>
      <c r="G83" s="2" t="s">
        <v>17</v>
      </c>
    </row>
    <row r="84" spans="1:7" x14ac:dyDescent="0.15">
      <c r="A84" s="2" t="s">
        <v>266</v>
      </c>
      <c r="B84" s="2" t="s">
        <v>267</v>
      </c>
      <c r="C84" s="2" t="s">
        <v>268</v>
      </c>
      <c r="D84" s="2" t="s">
        <v>10</v>
      </c>
      <c r="E84" s="2" t="s">
        <v>269</v>
      </c>
      <c r="F84" s="3" t="str">
        <f>HYPERLINK("http://ovidsp.ovid.com/ovidweb.cgi?T=JS&amp;NEWS=n&amp;CSC=Y&amp;PAGE=booktext&amp;D=books&amp;AN=00139966$&amp;XPATH=/PG(0)","http://ovidsp.ovid.com/ovidweb.cgi?T=JS&amp;NEWS=n&amp;CSC=Y&amp;PAGE=booktext&amp;D=books&amp;AN=00139966$&amp;XPATH=/PG(0)")</f>
        <v>http://ovidsp.ovid.com/ovidweb.cgi?T=JS&amp;NEWS=n&amp;CSC=Y&amp;PAGE=booktext&amp;D=books&amp;AN=00139966$&amp;XPATH=/PG(0)</v>
      </c>
      <c r="G84" s="2" t="s">
        <v>17</v>
      </c>
    </row>
    <row r="85" spans="1:7" x14ac:dyDescent="0.15">
      <c r="A85" s="2" t="s">
        <v>270</v>
      </c>
      <c r="B85" s="2" t="s">
        <v>271</v>
      </c>
      <c r="C85" s="2" t="s">
        <v>272</v>
      </c>
      <c r="D85" s="2" t="s">
        <v>10</v>
      </c>
      <c r="E85" s="2" t="s">
        <v>16</v>
      </c>
      <c r="F85" s="3" t="str">
        <f>HYPERLINK("http://ovidsp.ovid.com/ovidweb.cgi?T=JS&amp;NEWS=n&amp;CSC=Y&amp;PAGE=booktext&amp;D=books&amp;AN=01382849$&amp;XPATH=/PG(0)","http://ovidsp.ovid.com/ovidweb.cgi?T=JS&amp;NEWS=n&amp;CSC=Y&amp;PAGE=booktext&amp;D=books&amp;AN=01382849$&amp;XPATH=/PG(0)")</f>
        <v>http://ovidsp.ovid.com/ovidweb.cgi?T=JS&amp;NEWS=n&amp;CSC=Y&amp;PAGE=booktext&amp;D=books&amp;AN=01382849$&amp;XPATH=/PG(0)</v>
      </c>
      <c r="G85" s="2" t="s">
        <v>12</v>
      </c>
    </row>
    <row r="86" spans="1:7" x14ac:dyDescent="0.15">
      <c r="A86" s="2" t="s">
        <v>273</v>
      </c>
      <c r="B86" s="2" t="s">
        <v>274</v>
      </c>
      <c r="C86" s="2" t="s">
        <v>275</v>
      </c>
      <c r="D86" s="2" t="s">
        <v>10</v>
      </c>
      <c r="E86" s="2" t="s">
        <v>45</v>
      </c>
      <c r="F86" s="3" t="str">
        <f>HYPERLINK("http://ovidsp.ovid.com/ovidweb.cgi?T=JS&amp;NEWS=n&amp;CSC=Y&amp;PAGE=booktext&amp;D=books&amp;AN=01382800$&amp;XPATH=/PG(0)","http://ovidsp.ovid.com/ovidweb.cgi?T=JS&amp;NEWS=n&amp;CSC=Y&amp;PAGE=booktext&amp;D=books&amp;AN=01382800$&amp;XPATH=/PG(0)")</f>
        <v>http://ovidsp.ovid.com/ovidweb.cgi?T=JS&amp;NEWS=n&amp;CSC=Y&amp;PAGE=booktext&amp;D=books&amp;AN=01382800$&amp;XPATH=/PG(0)</v>
      </c>
      <c r="G86" s="2" t="s">
        <v>12</v>
      </c>
    </row>
    <row r="87" spans="1:7" x14ac:dyDescent="0.15">
      <c r="A87" s="2" t="s">
        <v>276</v>
      </c>
      <c r="B87" s="2" t="s">
        <v>277</v>
      </c>
      <c r="C87" s="2" t="s">
        <v>278</v>
      </c>
      <c r="D87" s="2" t="s">
        <v>10</v>
      </c>
      <c r="E87" s="2" t="s">
        <v>16</v>
      </c>
      <c r="F87" s="3" t="str">
        <f>HYPERLINK("http://ovidsp.ovid.com/ovidweb.cgi?T=JS&amp;NEWS=n&amp;CSC=Y&amp;PAGE=booktext&amp;D=books&amp;AN=01382446$&amp;XPATH=/PG(0)","http://ovidsp.ovid.com/ovidweb.cgi?T=JS&amp;NEWS=n&amp;CSC=Y&amp;PAGE=booktext&amp;D=books&amp;AN=01382446$&amp;XPATH=/PG(0)")</f>
        <v>http://ovidsp.ovid.com/ovidweb.cgi?T=JS&amp;NEWS=n&amp;CSC=Y&amp;PAGE=booktext&amp;D=books&amp;AN=01382446$&amp;XPATH=/PG(0)</v>
      </c>
      <c r="G87" s="2" t="s">
        <v>17</v>
      </c>
    </row>
    <row r="88" spans="1:7" x14ac:dyDescent="0.15">
      <c r="A88" s="2" t="s">
        <v>279</v>
      </c>
      <c r="B88" s="2" t="s">
        <v>280</v>
      </c>
      <c r="C88" s="2" t="s">
        <v>281</v>
      </c>
      <c r="D88" s="2" t="s">
        <v>10</v>
      </c>
      <c r="E88" s="2" t="s">
        <v>45</v>
      </c>
      <c r="F88" s="3" t="str">
        <f>HYPERLINK("http://ovidsp.ovid.com/ovidweb.cgi?T=JS&amp;NEWS=n&amp;CSC=Y&amp;PAGE=booktext&amp;D=books&amp;AN=00149842$&amp;XPATH=/PG(0)","http://ovidsp.ovid.com/ovidweb.cgi?T=JS&amp;NEWS=n&amp;CSC=Y&amp;PAGE=booktext&amp;D=books&amp;AN=00149842$&amp;XPATH=/PG(0)")</f>
        <v>http://ovidsp.ovid.com/ovidweb.cgi?T=JS&amp;NEWS=n&amp;CSC=Y&amp;PAGE=booktext&amp;D=books&amp;AN=00149842$&amp;XPATH=/PG(0)</v>
      </c>
      <c r="G88" s="2" t="s">
        <v>17</v>
      </c>
    </row>
    <row r="89" spans="1:7" x14ac:dyDescent="0.15">
      <c r="A89" s="2" t="s">
        <v>282</v>
      </c>
      <c r="B89" s="2" t="s">
        <v>283</v>
      </c>
      <c r="C89" s="2" t="s">
        <v>284</v>
      </c>
      <c r="D89" s="2" t="s">
        <v>10</v>
      </c>
      <c r="E89" s="2" t="s">
        <v>16</v>
      </c>
      <c r="F89" s="3" t="str">
        <f>HYPERLINK("http://ovidsp.ovid.com/ovidweb.cgi?T=JS&amp;NEWS=n&amp;CSC=Y&amp;PAGE=booktext&amp;D=books&amp;AN=01337255$&amp;XPATH=/PG(0)","http://ovidsp.ovid.com/ovidweb.cgi?T=JS&amp;NEWS=n&amp;CSC=Y&amp;PAGE=booktext&amp;D=books&amp;AN=01337255$&amp;XPATH=/PG(0)")</f>
        <v>http://ovidsp.ovid.com/ovidweb.cgi?T=JS&amp;NEWS=n&amp;CSC=Y&amp;PAGE=booktext&amp;D=books&amp;AN=01337255$&amp;XPATH=/PG(0)</v>
      </c>
      <c r="G89" s="2" t="s">
        <v>17</v>
      </c>
    </row>
    <row r="90" spans="1:7" x14ac:dyDescent="0.15">
      <c r="A90" s="2" t="s">
        <v>285</v>
      </c>
      <c r="B90" s="2" t="s">
        <v>286</v>
      </c>
      <c r="C90" s="2" t="s">
        <v>287</v>
      </c>
      <c r="D90" s="2" t="s">
        <v>10</v>
      </c>
      <c r="E90" s="2" t="s">
        <v>16</v>
      </c>
      <c r="F90" s="3" t="str">
        <f>HYPERLINK("http://ovidsp.ovid.com/ovidweb.cgi?T=JS&amp;NEWS=n&amp;CSC=Y&amp;PAGE=booktext&amp;D=books&amp;AN=01382556$&amp;XPATH=/PG(0)","http://ovidsp.ovid.com/ovidweb.cgi?T=JS&amp;NEWS=n&amp;CSC=Y&amp;PAGE=booktext&amp;D=books&amp;AN=01382556$&amp;XPATH=/PG(0)")</f>
        <v>http://ovidsp.ovid.com/ovidweb.cgi?T=JS&amp;NEWS=n&amp;CSC=Y&amp;PAGE=booktext&amp;D=books&amp;AN=01382556$&amp;XPATH=/PG(0)</v>
      </c>
      <c r="G90" s="2" t="s">
        <v>17</v>
      </c>
    </row>
    <row r="91" spans="1:7" x14ac:dyDescent="0.15">
      <c r="A91" s="2" t="s">
        <v>288</v>
      </c>
      <c r="B91" s="2" t="s">
        <v>289</v>
      </c>
      <c r="C91" s="2" t="s">
        <v>290</v>
      </c>
      <c r="D91" s="2" t="s">
        <v>10</v>
      </c>
      <c r="E91" s="2" t="s">
        <v>16</v>
      </c>
      <c r="F91" s="3" t="str">
        <f>HYPERLINK("http://ovidsp.ovid.com/ovidweb.cgi?T=JS&amp;NEWS=n&amp;CSC=Y&amp;PAGE=booktext&amp;D=books&amp;AN=01382447$&amp;XPATH=/PG(0)","http://ovidsp.ovid.com/ovidweb.cgi?T=JS&amp;NEWS=n&amp;CSC=Y&amp;PAGE=booktext&amp;D=books&amp;AN=01382447$&amp;XPATH=/PG(0)")</f>
        <v>http://ovidsp.ovid.com/ovidweb.cgi?T=JS&amp;NEWS=n&amp;CSC=Y&amp;PAGE=booktext&amp;D=books&amp;AN=01382447$&amp;XPATH=/PG(0)</v>
      </c>
      <c r="G91" s="2" t="s">
        <v>17</v>
      </c>
    </row>
    <row r="92" spans="1:7" x14ac:dyDescent="0.15">
      <c r="A92" s="2" t="s">
        <v>291</v>
      </c>
      <c r="B92" s="2" t="s">
        <v>292</v>
      </c>
      <c r="C92" s="2" t="s">
        <v>293</v>
      </c>
      <c r="D92" s="2" t="s">
        <v>10</v>
      </c>
      <c r="E92" s="2" t="s">
        <v>16</v>
      </c>
      <c r="F92" s="3" t="str">
        <f>HYPERLINK("http://ovidsp.ovid.com/ovidweb.cgi?T=JS&amp;NEWS=n&amp;CSC=Y&amp;PAGE=booktext&amp;D=books&amp;AN=01382448$&amp;XPATH=/PG(0)","http://ovidsp.ovid.com/ovidweb.cgi?T=JS&amp;NEWS=n&amp;CSC=Y&amp;PAGE=booktext&amp;D=books&amp;AN=01382448$&amp;XPATH=/PG(0)")</f>
        <v>http://ovidsp.ovid.com/ovidweb.cgi?T=JS&amp;NEWS=n&amp;CSC=Y&amp;PAGE=booktext&amp;D=books&amp;AN=01382448$&amp;XPATH=/PG(0)</v>
      </c>
      <c r="G92" s="2" t="s">
        <v>17</v>
      </c>
    </row>
    <row r="93" spans="1:7" x14ac:dyDescent="0.15">
      <c r="A93" s="2" t="s">
        <v>294</v>
      </c>
      <c r="B93" s="2" t="s">
        <v>295</v>
      </c>
      <c r="C93" s="2" t="s">
        <v>296</v>
      </c>
      <c r="D93" s="2" t="s">
        <v>10</v>
      </c>
      <c r="E93" s="2" t="s">
        <v>95</v>
      </c>
      <c r="F93" s="3" t="str">
        <f>HYPERLINK("http://ovidsp.ovid.com/ovidweb.cgi?T=JS&amp;NEWS=n&amp;CSC=Y&amp;PAGE=booktext&amp;D=books&amp;AN=00139875$&amp;XPATH=/PG(0)","http://ovidsp.ovid.com/ovidweb.cgi?T=JS&amp;NEWS=n&amp;CSC=Y&amp;PAGE=booktext&amp;D=books&amp;AN=00139875$&amp;XPATH=/PG(0)")</f>
        <v>http://ovidsp.ovid.com/ovidweb.cgi?T=JS&amp;NEWS=n&amp;CSC=Y&amp;PAGE=booktext&amp;D=books&amp;AN=00139875$&amp;XPATH=/PG(0)</v>
      </c>
      <c r="G93" s="2" t="s">
        <v>17</v>
      </c>
    </row>
    <row r="94" spans="1:7" x14ac:dyDescent="0.15">
      <c r="A94" s="2" t="s">
        <v>297</v>
      </c>
      <c r="B94" s="2" t="s">
        <v>298</v>
      </c>
      <c r="C94" s="2" t="s">
        <v>299</v>
      </c>
      <c r="D94" s="2" t="s">
        <v>10</v>
      </c>
      <c r="E94" s="2" t="s">
        <v>16</v>
      </c>
      <c r="F94" s="3" t="str">
        <f>HYPERLINK("http://ovidsp.ovid.com/ovidweb.cgi?T=JS&amp;NEWS=n&amp;CSC=Y&amp;PAGE=booktext&amp;D=books&amp;AN=01279732$&amp;XPATH=/PG(0)","http://ovidsp.ovid.com/ovidweb.cgi?T=JS&amp;NEWS=n&amp;CSC=Y&amp;PAGE=booktext&amp;D=books&amp;AN=01279732$&amp;XPATH=/PG(0)")</f>
        <v>http://ovidsp.ovid.com/ovidweb.cgi?T=JS&amp;NEWS=n&amp;CSC=Y&amp;PAGE=booktext&amp;D=books&amp;AN=01279732$&amp;XPATH=/PG(0)</v>
      </c>
      <c r="G94" s="2" t="s">
        <v>17</v>
      </c>
    </row>
    <row r="95" spans="1:7" x14ac:dyDescent="0.15">
      <c r="A95" s="2" t="s">
        <v>300</v>
      </c>
      <c r="B95" s="2" t="s">
        <v>301</v>
      </c>
      <c r="C95" s="2" t="s">
        <v>302</v>
      </c>
      <c r="D95" s="2" t="s">
        <v>10</v>
      </c>
      <c r="E95" s="2" t="s">
        <v>95</v>
      </c>
      <c r="F95" s="3" t="str">
        <f>HYPERLINK("http://ovidsp.ovid.com/ovidweb.cgi?T=JS&amp;NEWS=n&amp;CSC=Y&amp;PAGE=booktext&amp;D=books&amp;AN=01276483$&amp;XPATH=/PG(0)","http://ovidsp.ovid.com/ovidweb.cgi?T=JS&amp;NEWS=n&amp;CSC=Y&amp;PAGE=booktext&amp;D=books&amp;AN=01276483$&amp;XPATH=/PG(0)")</f>
        <v>http://ovidsp.ovid.com/ovidweb.cgi?T=JS&amp;NEWS=n&amp;CSC=Y&amp;PAGE=booktext&amp;D=books&amp;AN=01276483$&amp;XPATH=/PG(0)</v>
      </c>
      <c r="G95" s="2" t="s">
        <v>17</v>
      </c>
    </row>
    <row r="96" spans="1:7" x14ac:dyDescent="0.15">
      <c r="A96" s="2" t="s">
        <v>303</v>
      </c>
      <c r="B96" s="2" t="s">
        <v>304</v>
      </c>
      <c r="C96" s="2" t="s">
        <v>305</v>
      </c>
      <c r="D96" s="2" t="s">
        <v>10</v>
      </c>
      <c r="E96" s="2" t="s">
        <v>95</v>
      </c>
      <c r="F96" s="3" t="str">
        <f>HYPERLINK("http://ovidsp.ovid.com/ovidweb.cgi?T=JS&amp;NEWS=n&amp;CSC=Y&amp;PAGE=booktext&amp;D=books&amp;AN=01222978$&amp;XPATH=/PG(0)","http://ovidsp.ovid.com/ovidweb.cgi?T=JS&amp;NEWS=n&amp;CSC=Y&amp;PAGE=booktext&amp;D=books&amp;AN=01222978$&amp;XPATH=/PG(0)")</f>
        <v>http://ovidsp.ovid.com/ovidweb.cgi?T=JS&amp;NEWS=n&amp;CSC=Y&amp;PAGE=booktext&amp;D=books&amp;AN=01222978$&amp;XPATH=/PG(0)</v>
      </c>
      <c r="G96" s="2" t="s">
        <v>17</v>
      </c>
    </row>
    <row r="97" spans="1:7" x14ac:dyDescent="0.15">
      <c r="A97" s="2" t="s">
        <v>306</v>
      </c>
      <c r="B97" s="2" t="s">
        <v>307</v>
      </c>
      <c r="C97" s="2" t="s">
        <v>308</v>
      </c>
      <c r="D97" s="2" t="s">
        <v>10</v>
      </c>
      <c r="E97" s="2" t="s">
        <v>95</v>
      </c>
      <c r="F97" s="3" t="str">
        <f>HYPERLINK("http://ovidsp.ovid.com/ovidweb.cgi?T=JS&amp;NEWS=n&amp;CSC=Y&amp;PAGE=booktext&amp;D=books&amp;AN=01382449$&amp;XPATH=/PG(0)","http://ovidsp.ovid.com/ovidweb.cgi?T=JS&amp;NEWS=n&amp;CSC=Y&amp;PAGE=booktext&amp;D=books&amp;AN=01382449$&amp;XPATH=/PG(0)")</f>
        <v>http://ovidsp.ovid.com/ovidweb.cgi?T=JS&amp;NEWS=n&amp;CSC=Y&amp;PAGE=booktext&amp;D=books&amp;AN=01382449$&amp;XPATH=/PG(0)</v>
      </c>
      <c r="G97" s="2" t="s">
        <v>17</v>
      </c>
    </row>
    <row r="98" spans="1:7" x14ac:dyDescent="0.15">
      <c r="A98" s="2" t="s">
        <v>309</v>
      </c>
      <c r="B98" s="2" t="s">
        <v>310</v>
      </c>
      <c r="C98" s="2" t="s">
        <v>311</v>
      </c>
      <c r="D98" s="2" t="s">
        <v>10</v>
      </c>
      <c r="E98" s="2" t="s">
        <v>45</v>
      </c>
      <c r="F98" s="3" t="str">
        <f>HYPERLINK("http://ovidsp.ovid.com/ovidweb.cgi?T=JS&amp;NEWS=n&amp;CSC=Y&amp;PAGE=booktext&amp;D=books&amp;AN=01382450$&amp;XPATH=/PG(0)","http://ovidsp.ovid.com/ovidweb.cgi?T=JS&amp;NEWS=n&amp;CSC=Y&amp;PAGE=booktext&amp;D=books&amp;AN=01382450$&amp;XPATH=/PG(0)")</f>
        <v>http://ovidsp.ovid.com/ovidweb.cgi?T=JS&amp;NEWS=n&amp;CSC=Y&amp;PAGE=booktext&amp;D=books&amp;AN=01382450$&amp;XPATH=/PG(0)</v>
      </c>
      <c r="G98" s="2" t="s">
        <v>17</v>
      </c>
    </row>
    <row r="99" spans="1:7" x14ac:dyDescent="0.15">
      <c r="A99" s="2" t="s">
        <v>312</v>
      </c>
      <c r="B99" s="2" t="s">
        <v>313</v>
      </c>
      <c r="C99" s="2" t="s">
        <v>314</v>
      </c>
      <c r="D99" s="2" t="s">
        <v>10</v>
      </c>
      <c r="E99" s="2" t="s">
        <v>16</v>
      </c>
      <c r="F99" s="3" t="str">
        <f>HYPERLINK("http://ovidsp.ovid.com/ovidweb.cgi?T=JS&amp;NEWS=n&amp;CSC=Y&amp;PAGE=booktext&amp;D=books&amp;AN=01382451$&amp;XPATH=/PG(0)","http://ovidsp.ovid.com/ovidweb.cgi?T=JS&amp;NEWS=n&amp;CSC=Y&amp;PAGE=booktext&amp;D=books&amp;AN=01382451$&amp;XPATH=/PG(0)")</f>
        <v>http://ovidsp.ovid.com/ovidweb.cgi?T=JS&amp;NEWS=n&amp;CSC=Y&amp;PAGE=booktext&amp;D=books&amp;AN=01382451$&amp;XPATH=/PG(0)</v>
      </c>
      <c r="G99" s="2" t="s">
        <v>17</v>
      </c>
    </row>
    <row r="100" spans="1:7" x14ac:dyDescent="0.15">
      <c r="A100" s="2" t="s">
        <v>315</v>
      </c>
      <c r="B100" s="2" t="s">
        <v>316</v>
      </c>
      <c r="C100" s="2" t="s">
        <v>317</v>
      </c>
      <c r="D100" s="2" t="s">
        <v>10</v>
      </c>
      <c r="E100" s="2" t="s">
        <v>16</v>
      </c>
      <c r="F100" s="3" t="str">
        <f>HYPERLINK("http://ovidsp.ovid.com/ovidweb.cgi?T=JS&amp;NEWS=n&amp;CSC=Y&amp;PAGE=booktext&amp;D=books&amp;AN=01382879$&amp;XPATH=/PG(0)","http://ovidsp.ovid.com/ovidweb.cgi?T=JS&amp;NEWS=n&amp;CSC=Y&amp;PAGE=booktext&amp;D=books&amp;AN=01382879$&amp;XPATH=/PG(0)")</f>
        <v>http://ovidsp.ovid.com/ovidweb.cgi?T=JS&amp;NEWS=n&amp;CSC=Y&amp;PAGE=booktext&amp;D=books&amp;AN=01382879$&amp;XPATH=/PG(0)</v>
      </c>
      <c r="G100" s="2" t="s">
        <v>12</v>
      </c>
    </row>
    <row r="101" spans="1:7" x14ac:dyDescent="0.15">
      <c r="A101" s="2" t="s">
        <v>318</v>
      </c>
      <c r="B101" s="2" t="s">
        <v>319</v>
      </c>
      <c r="C101" s="2" t="s">
        <v>320</v>
      </c>
      <c r="D101" s="2" t="s">
        <v>10</v>
      </c>
      <c r="E101" s="2" t="s">
        <v>16</v>
      </c>
      <c r="F101" s="3" t="str">
        <f>HYPERLINK("http://ovidsp.ovid.com/ovidweb.cgi?T=JS&amp;NEWS=n&amp;CSC=Y&amp;PAGE=booktext&amp;D=books&amp;AN=01256994$&amp;XPATH=/PG(0)","http://ovidsp.ovid.com/ovidweb.cgi?T=JS&amp;NEWS=n&amp;CSC=Y&amp;PAGE=booktext&amp;D=books&amp;AN=01256994$&amp;XPATH=/PG(0)")</f>
        <v>http://ovidsp.ovid.com/ovidweb.cgi?T=JS&amp;NEWS=n&amp;CSC=Y&amp;PAGE=booktext&amp;D=books&amp;AN=01256994$&amp;XPATH=/PG(0)</v>
      </c>
      <c r="G101" s="2" t="s">
        <v>17</v>
      </c>
    </row>
    <row r="102" spans="1:7" x14ac:dyDescent="0.15">
      <c r="A102" s="2" t="s">
        <v>321</v>
      </c>
      <c r="B102" s="2" t="s">
        <v>322</v>
      </c>
      <c r="C102" s="2" t="s">
        <v>323</v>
      </c>
      <c r="D102" s="2" t="s">
        <v>10</v>
      </c>
      <c r="E102" s="2" t="s">
        <v>49</v>
      </c>
      <c r="F102" s="3" t="str">
        <f>HYPERLINK("http://ovidsp.ovid.com/ovidweb.cgi?T=JS&amp;NEWS=n&amp;CSC=Y&amp;PAGE=booktext&amp;D=books&amp;AN=00139876$&amp;XPATH=/PG(0)","http://ovidsp.ovid.com/ovidweb.cgi?T=JS&amp;NEWS=n&amp;CSC=Y&amp;PAGE=booktext&amp;D=books&amp;AN=00139876$&amp;XPATH=/PG(0)")</f>
        <v>http://ovidsp.ovid.com/ovidweb.cgi?T=JS&amp;NEWS=n&amp;CSC=Y&amp;PAGE=booktext&amp;D=books&amp;AN=00139876$&amp;XPATH=/PG(0)</v>
      </c>
      <c r="G102" s="2" t="s">
        <v>17</v>
      </c>
    </row>
    <row r="103" spans="1:7" x14ac:dyDescent="0.15">
      <c r="A103" s="2" t="s">
        <v>324</v>
      </c>
      <c r="B103" s="2" t="s">
        <v>325</v>
      </c>
      <c r="C103" s="2" t="s">
        <v>326</v>
      </c>
      <c r="D103" s="2" t="s">
        <v>10</v>
      </c>
      <c r="E103" s="2" t="s">
        <v>45</v>
      </c>
      <c r="F103" s="3" t="str">
        <f>HYPERLINK("http://ovidsp.ovid.com/ovidweb.cgi?T=JS&amp;NEWS=n&amp;CSC=Y&amp;PAGE=booktext&amp;D=books&amp;AN=01382453$&amp;XPATH=/PG(0)","http://ovidsp.ovid.com/ovidweb.cgi?T=JS&amp;NEWS=n&amp;CSC=Y&amp;PAGE=booktext&amp;D=books&amp;AN=01382453$&amp;XPATH=/PG(0)")</f>
        <v>http://ovidsp.ovid.com/ovidweb.cgi?T=JS&amp;NEWS=n&amp;CSC=Y&amp;PAGE=booktext&amp;D=books&amp;AN=01382453$&amp;XPATH=/PG(0)</v>
      </c>
      <c r="G103" s="2" t="s">
        <v>17</v>
      </c>
    </row>
    <row r="104" spans="1:7" x14ac:dyDescent="0.15">
      <c r="A104" s="2" t="s">
        <v>327</v>
      </c>
      <c r="B104" s="2" t="s">
        <v>328</v>
      </c>
      <c r="C104" s="2" t="s">
        <v>329</v>
      </c>
      <c r="D104" s="2" t="s">
        <v>10</v>
      </c>
      <c r="E104" s="2" t="s">
        <v>251</v>
      </c>
      <c r="F104" s="3" t="str">
        <f>HYPERLINK("http://ovidsp.ovid.com/ovidweb.cgi?T=JS&amp;NEWS=n&amp;CSC=Y&amp;PAGE=booktext&amp;D=books&amp;AN=00139877$&amp;XPATH=/PG(0)","http://ovidsp.ovid.com/ovidweb.cgi?T=JS&amp;NEWS=n&amp;CSC=Y&amp;PAGE=booktext&amp;D=books&amp;AN=00139877$&amp;XPATH=/PG(0)")</f>
        <v>http://ovidsp.ovid.com/ovidweb.cgi?T=JS&amp;NEWS=n&amp;CSC=Y&amp;PAGE=booktext&amp;D=books&amp;AN=00139877$&amp;XPATH=/PG(0)</v>
      </c>
      <c r="G104" s="2" t="s">
        <v>12</v>
      </c>
    </row>
    <row r="105" spans="1:7" x14ac:dyDescent="0.15">
      <c r="A105" s="2" t="s">
        <v>330</v>
      </c>
      <c r="B105" s="2" t="s">
        <v>331</v>
      </c>
      <c r="C105" s="2" t="s">
        <v>332</v>
      </c>
      <c r="D105" s="2" t="s">
        <v>10</v>
      </c>
      <c r="E105" s="2" t="s">
        <v>53</v>
      </c>
      <c r="F105" s="3" t="str">
        <f>HYPERLINK("http://ovidsp.ovid.com/ovidweb.cgi?T=JS&amp;NEWS=n&amp;CSC=Y&amp;PAGE=booktext&amp;D=books&amp;AN=00139878$&amp;XPATH=/PG(0)","http://ovidsp.ovid.com/ovidweb.cgi?T=JS&amp;NEWS=n&amp;CSC=Y&amp;PAGE=booktext&amp;D=books&amp;AN=00139878$&amp;XPATH=/PG(0)")</f>
        <v>http://ovidsp.ovid.com/ovidweb.cgi?T=JS&amp;NEWS=n&amp;CSC=Y&amp;PAGE=booktext&amp;D=books&amp;AN=00139878$&amp;XPATH=/PG(0)</v>
      </c>
      <c r="G105" s="2" t="s">
        <v>12</v>
      </c>
    </row>
    <row r="106" spans="1:7" x14ac:dyDescent="0.15">
      <c r="A106" s="2" t="s">
        <v>333</v>
      </c>
      <c r="B106" s="2" t="s">
        <v>334</v>
      </c>
      <c r="C106" s="2" t="s">
        <v>335</v>
      </c>
      <c r="D106" s="2" t="s">
        <v>10</v>
      </c>
      <c r="E106" s="2" t="s">
        <v>49</v>
      </c>
      <c r="F106" s="3" t="str">
        <f>HYPERLINK("http://ovidsp.ovid.com/ovidweb.cgi?T=JS&amp;NEWS=n&amp;CSC=Y&amp;PAGE=booktext&amp;D=books&amp;AN=01382454$&amp;XPATH=/PG(0)","http://ovidsp.ovid.com/ovidweb.cgi?T=JS&amp;NEWS=n&amp;CSC=Y&amp;PAGE=booktext&amp;D=books&amp;AN=01382454$&amp;XPATH=/PG(0)")</f>
        <v>http://ovidsp.ovid.com/ovidweb.cgi?T=JS&amp;NEWS=n&amp;CSC=Y&amp;PAGE=booktext&amp;D=books&amp;AN=01382454$&amp;XPATH=/PG(0)</v>
      </c>
      <c r="G106" s="2" t="s">
        <v>17</v>
      </c>
    </row>
    <row r="107" spans="1:7" x14ac:dyDescent="0.15">
      <c r="A107" s="2" t="s">
        <v>336</v>
      </c>
      <c r="B107" s="2" t="s">
        <v>337</v>
      </c>
      <c r="C107" s="2" t="s">
        <v>338</v>
      </c>
      <c r="D107" s="2" t="s">
        <v>10</v>
      </c>
      <c r="E107" s="2" t="s">
        <v>95</v>
      </c>
      <c r="F107" s="3" t="str">
        <f>HYPERLINK("http://ovidsp.ovid.com/ovidweb.cgi?T=JS&amp;NEWS=n&amp;CSC=Y&amp;PAGE=booktext&amp;D=books&amp;AN=01382455$&amp;XPATH=/PG(0)","http://ovidsp.ovid.com/ovidweb.cgi?T=JS&amp;NEWS=n&amp;CSC=Y&amp;PAGE=booktext&amp;D=books&amp;AN=01382455$&amp;XPATH=/PG(0)")</f>
        <v>http://ovidsp.ovid.com/ovidweb.cgi?T=JS&amp;NEWS=n&amp;CSC=Y&amp;PAGE=booktext&amp;D=books&amp;AN=01382455$&amp;XPATH=/PG(0)</v>
      </c>
      <c r="G107" s="2" t="s">
        <v>17</v>
      </c>
    </row>
    <row r="108" spans="1:7" x14ac:dyDescent="0.15">
      <c r="A108" s="2" t="s">
        <v>339</v>
      </c>
      <c r="B108" s="2" t="s">
        <v>340</v>
      </c>
      <c r="C108" s="2" t="s">
        <v>341</v>
      </c>
      <c r="D108" s="2" t="s">
        <v>10</v>
      </c>
      <c r="E108" s="2" t="s">
        <v>45</v>
      </c>
      <c r="F108" s="3" t="str">
        <f>HYPERLINK("http://ovidsp.ovid.com/ovidweb.cgi?T=JS&amp;NEWS=n&amp;CSC=Y&amp;PAGE=booktext&amp;D=books&amp;AN=01382725$&amp;XPATH=/PG(0)","http://ovidsp.ovid.com/ovidweb.cgi?T=JS&amp;NEWS=n&amp;CSC=Y&amp;PAGE=booktext&amp;D=books&amp;AN=01382725$&amp;XPATH=/PG(0)")</f>
        <v>http://ovidsp.ovid.com/ovidweb.cgi?T=JS&amp;NEWS=n&amp;CSC=Y&amp;PAGE=booktext&amp;D=books&amp;AN=01382725$&amp;XPATH=/PG(0)</v>
      </c>
      <c r="G108" s="2" t="s">
        <v>17</v>
      </c>
    </row>
    <row r="109" spans="1:7" x14ac:dyDescent="0.15">
      <c r="A109" s="2" t="s">
        <v>342</v>
      </c>
      <c r="B109" s="2" t="s">
        <v>343</v>
      </c>
      <c r="C109" s="2" t="s">
        <v>344</v>
      </c>
      <c r="D109" s="2" t="s">
        <v>10</v>
      </c>
      <c r="E109" s="2" t="s">
        <v>16</v>
      </c>
      <c r="F109" s="3" t="str">
        <f>HYPERLINK("http://ovidsp.ovid.com/ovidweb.cgi?T=JS&amp;NEWS=n&amp;CSC=Y&amp;PAGE=booktext&amp;D=books&amp;AN=01382798$&amp;XPATH=/PG(0)","http://ovidsp.ovid.com/ovidweb.cgi?T=JS&amp;NEWS=n&amp;CSC=Y&amp;PAGE=booktext&amp;D=books&amp;AN=01382798$&amp;XPATH=/PG(0)")</f>
        <v>http://ovidsp.ovid.com/ovidweb.cgi?T=JS&amp;NEWS=n&amp;CSC=Y&amp;PAGE=booktext&amp;D=books&amp;AN=01382798$&amp;XPATH=/PG(0)</v>
      </c>
      <c r="G109" s="2" t="s">
        <v>12</v>
      </c>
    </row>
    <row r="110" spans="1:7" x14ac:dyDescent="0.15">
      <c r="A110" s="2" t="s">
        <v>345</v>
      </c>
      <c r="B110" s="2" t="s">
        <v>346</v>
      </c>
      <c r="C110" s="2" t="s">
        <v>347</v>
      </c>
      <c r="D110" s="2" t="s">
        <v>10</v>
      </c>
      <c r="E110" s="2" t="s">
        <v>16</v>
      </c>
      <c r="F110" s="3" t="str">
        <f>HYPERLINK("http://ovidsp.ovid.com/ovidweb.cgi?T=JS&amp;NEWS=n&amp;CSC=Y&amp;PAGE=booktext&amp;D=books&amp;AN=01382456$&amp;XPATH=/PG(0)","http://ovidsp.ovid.com/ovidweb.cgi?T=JS&amp;NEWS=n&amp;CSC=Y&amp;PAGE=booktext&amp;D=books&amp;AN=01382456$&amp;XPATH=/PG(0)")</f>
        <v>http://ovidsp.ovid.com/ovidweb.cgi?T=JS&amp;NEWS=n&amp;CSC=Y&amp;PAGE=booktext&amp;D=books&amp;AN=01382456$&amp;XPATH=/PG(0)</v>
      </c>
      <c r="G110" s="2" t="s">
        <v>17</v>
      </c>
    </row>
    <row r="111" spans="1:7" x14ac:dyDescent="0.15">
      <c r="A111" s="2" t="s">
        <v>348</v>
      </c>
      <c r="B111" s="2" t="s">
        <v>349</v>
      </c>
      <c r="C111" s="2" t="s">
        <v>350</v>
      </c>
      <c r="D111" s="2" t="s">
        <v>10</v>
      </c>
      <c r="E111" s="2" t="s">
        <v>16</v>
      </c>
      <c r="F111" s="3" t="str">
        <f>HYPERLINK("http://ovidsp.ovid.com/ovidweb.cgi?T=JS&amp;NEWS=n&amp;CSC=Y&amp;PAGE=booktext&amp;D=books&amp;AN=01382457$&amp;XPATH=/PG(0)","http://ovidsp.ovid.com/ovidweb.cgi?T=JS&amp;NEWS=n&amp;CSC=Y&amp;PAGE=booktext&amp;D=books&amp;AN=01382457$&amp;XPATH=/PG(0)")</f>
        <v>http://ovidsp.ovid.com/ovidweb.cgi?T=JS&amp;NEWS=n&amp;CSC=Y&amp;PAGE=booktext&amp;D=books&amp;AN=01382457$&amp;XPATH=/PG(0)</v>
      </c>
      <c r="G111" s="2" t="s">
        <v>17</v>
      </c>
    </row>
    <row r="112" spans="1:7" x14ac:dyDescent="0.15">
      <c r="A112" s="2" t="s">
        <v>351</v>
      </c>
      <c r="B112" s="2" t="s">
        <v>352</v>
      </c>
      <c r="C112" s="2" t="s">
        <v>353</v>
      </c>
      <c r="D112" s="2" t="s">
        <v>10</v>
      </c>
      <c r="E112" s="2" t="s">
        <v>16</v>
      </c>
      <c r="F112" s="3" t="str">
        <f>HYPERLINK("http://ovidsp.ovid.com/ovidweb.cgi?T=JS&amp;NEWS=n&amp;CSC=Y&amp;PAGE=booktext&amp;D=books&amp;AN=01382468$&amp;XPATH=/PG(0)","http://ovidsp.ovid.com/ovidweb.cgi?T=JS&amp;NEWS=n&amp;CSC=Y&amp;PAGE=booktext&amp;D=books&amp;AN=01382468$&amp;XPATH=/PG(0)")</f>
        <v>http://ovidsp.ovid.com/ovidweb.cgi?T=JS&amp;NEWS=n&amp;CSC=Y&amp;PAGE=booktext&amp;D=books&amp;AN=01382468$&amp;XPATH=/PG(0)</v>
      </c>
      <c r="G112" s="2" t="s">
        <v>17</v>
      </c>
    </row>
    <row r="113" spans="1:7" x14ac:dyDescent="0.15">
      <c r="A113" s="2" t="s">
        <v>354</v>
      </c>
      <c r="B113" s="2" t="s">
        <v>355</v>
      </c>
      <c r="C113" s="2" t="s">
        <v>356</v>
      </c>
      <c r="D113" s="2" t="s">
        <v>10</v>
      </c>
      <c r="E113" s="2" t="s">
        <v>16</v>
      </c>
      <c r="F113" s="3" t="str">
        <f>HYPERLINK("http://ovidsp.ovid.com/ovidweb.cgi?T=JS&amp;NEWS=n&amp;CSC=Y&amp;PAGE=booktext&amp;D=books&amp;AN=01382458$&amp;XPATH=/PG(0)","http://ovidsp.ovid.com/ovidweb.cgi?T=JS&amp;NEWS=n&amp;CSC=Y&amp;PAGE=booktext&amp;D=books&amp;AN=01382458$&amp;XPATH=/PG(0)")</f>
        <v>http://ovidsp.ovid.com/ovidweb.cgi?T=JS&amp;NEWS=n&amp;CSC=Y&amp;PAGE=booktext&amp;D=books&amp;AN=01382458$&amp;XPATH=/PG(0)</v>
      </c>
      <c r="G113" s="2" t="s">
        <v>17</v>
      </c>
    </row>
    <row r="114" spans="1:7" x14ac:dyDescent="0.15">
      <c r="A114" s="2" t="s">
        <v>357</v>
      </c>
      <c r="B114" s="2" t="s">
        <v>358</v>
      </c>
      <c r="C114" s="2" t="s">
        <v>359</v>
      </c>
      <c r="D114" s="2" t="s">
        <v>10</v>
      </c>
      <c r="E114" s="2" t="s">
        <v>45</v>
      </c>
      <c r="F114" s="3" t="str">
        <f>HYPERLINK("http://ovidsp.ovid.com/ovidweb.cgi?T=JS&amp;NEWS=n&amp;CSC=Y&amp;PAGE=booktext&amp;D=books&amp;AN=01382460$&amp;XPATH=/PG(0)","http://ovidsp.ovid.com/ovidweb.cgi?T=JS&amp;NEWS=n&amp;CSC=Y&amp;PAGE=booktext&amp;D=books&amp;AN=01382460$&amp;XPATH=/PG(0)")</f>
        <v>http://ovidsp.ovid.com/ovidweb.cgi?T=JS&amp;NEWS=n&amp;CSC=Y&amp;PAGE=booktext&amp;D=books&amp;AN=01382460$&amp;XPATH=/PG(0)</v>
      </c>
      <c r="G114" s="2" t="s">
        <v>17</v>
      </c>
    </row>
    <row r="115" spans="1:7" x14ac:dyDescent="0.15">
      <c r="A115" s="2" t="s">
        <v>360</v>
      </c>
      <c r="B115" s="2" t="s">
        <v>361</v>
      </c>
      <c r="C115" s="2" t="s">
        <v>362</v>
      </c>
      <c r="D115" s="2" t="s">
        <v>10</v>
      </c>
      <c r="E115" s="2" t="s">
        <v>49</v>
      </c>
      <c r="F115" s="3" t="str">
        <f>HYPERLINK("http://ovidsp.ovid.com/ovidweb.cgi?T=JS&amp;NEWS=n&amp;CSC=Y&amp;PAGE=booktext&amp;D=books&amp;AN=01382459$&amp;XPATH=/PG(0)","http://ovidsp.ovid.com/ovidweb.cgi?T=JS&amp;NEWS=n&amp;CSC=Y&amp;PAGE=booktext&amp;D=books&amp;AN=01382459$&amp;XPATH=/PG(0)")</f>
        <v>http://ovidsp.ovid.com/ovidweb.cgi?T=JS&amp;NEWS=n&amp;CSC=Y&amp;PAGE=booktext&amp;D=books&amp;AN=01382459$&amp;XPATH=/PG(0)</v>
      </c>
      <c r="G115" s="2" t="s">
        <v>17</v>
      </c>
    </row>
    <row r="116" spans="1:7" x14ac:dyDescent="0.15">
      <c r="A116" s="2" t="s">
        <v>363</v>
      </c>
      <c r="B116" s="2" t="s">
        <v>364</v>
      </c>
      <c r="C116" s="2" t="s">
        <v>365</v>
      </c>
      <c r="D116" s="2" t="s">
        <v>10</v>
      </c>
      <c r="E116" s="2" t="s">
        <v>95</v>
      </c>
      <c r="F116" s="3" t="str">
        <f>HYPERLINK("http://ovidsp.ovid.com/ovidweb.cgi?T=JS&amp;NEWS=n&amp;CSC=Y&amp;PAGE=booktext&amp;D=books&amp;AN=00139880$&amp;XPATH=/PG(0)","http://ovidsp.ovid.com/ovidweb.cgi?T=JS&amp;NEWS=n&amp;CSC=Y&amp;PAGE=booktext&amp;D=books&amp;AN=00139880$&amp;XPATH=/PG(0)")</f>
        <v>http://ovidsp.ovid.com/ovidweb.cgi?T=JS&amp;NEWS=n&amp;CSC=Y&amp;PAGE=booktext&amp;D=books&amp;AN=00139880$&amp;XPATH=/PG(0)</v>
      </c>
      <c r="G116" s="2" t="s">
        <v>17</v>
      </c>
    </row>
    <row r="117" spans="1:7" x14ac:dyDescent="0.15">
      <c r="A117" s="2" t="s">
        <v>366</v>
      </c>
      <c r="B117" s="2" t="s">
        <v>367</v>
      </c>
      <c r="C117" s="2" t="s">
        <v>368</v>
      </c>
      <c r="D117" s="2" t="s">
        <v>10</v>
      </c>
      <c r="E117" s="2" t="s">
        <v>45</v>
      </c>
      <c r="F117" s="3" t="str">
        <f>HYPERLINK("http://ovidsp.ovid.com/ovidweb.cgi?T=JS&amp;NEWS=n&amp;CSC=Y&amp;PAGE=booktext&amp;D=books&amp;AN=01382838$&amp;XPATH=/PG(0)","http://ovidsp.ovid.com/ovidweb.cgi?T=JS&amp;NEWS=n&amp;CSC=Y&amp;PAGE=booktext&amp;D=books&amp;AN=01382838$&amp;XPATH=/PG(0)")</f>
        <v>http://ovidsp.ovid.com/ovidweb.cgi?T=JS&amp;NEWS=n&amp;CSC=Y&amp;PAGE=booktext&amp;D=books&amp;AN=01382838$&amp;XPATH=/PG(0)</v>
      </c>
      <c r="G117" s="2" t="s">
        <v>12</v>
      </c>
    </row>
    <row r="118" spans="1:7" x14ac:dyDescent="0.15">
      <c r="A118" s="2" t="s">
        <v>369</v>
      </c>
      <c r="B118" s="2" t="s">
        <v>370</v>
      </c>
      <c r="C118" s="2" t="s">
        <v>371</v>
      </c>
      <c r="D118" s="2" t="s">
        <v>10</v>
      </c>
      <c r="E118" s="2" t="s">
        <v>95</v>
      </c>
      <c r="F118" s="3" t="str">
        <f>HYPERLINK("http://ovidsp.ovid.com/ovidweb.cgi?T=JS&amp;NEWS=n&amp;CSC=Y&amp;PAGE=booktext&amp;D=books&amp;AN=01273319$&amp;XPATH=/PG(0)","http://ovidsp.ovid.com/ovidweb.cgi?T=JS&amp;NEWS=n&amp;CSC=Y&amp;PAGE=booktext&amp;D=books&amp;AN=01273319$&amp;XPATH=/PG(0)")</f>
        <v>http://ovidsp.ovid.com/ovidweb.cgi?T=JS&amp;NEWS=n&amp;CSC=Y&amp;PAGE=booktext&amp;D=books&amp;AN=01273319$&amp;XPATH=/PG(0)</v>
      </c>
      <c r="G118" s="2" t="s">
        <v>12</v>
      </c>
    </row>
    <row r="119" spans="1:7" x14ac:dyDescent="0.15">
      <c r="A119" s="2" t="s">
        <v>372</v>
      </c>
      <c r="B119" s="2" t="s">
        <v>373</v>
      </c>
      <c r="C119" s="2" t="s">
        <v>374</v>
      </c>
      <c r="D119" s="2" t="s">
        <v>10</v>
      </c>
      <c r="E119" s="2" t="s">
        <v>16</v>
      </c>
      <c r="F119" s="3" t="str">
        <f>HYPERLINK("http://ovidsp.ovid.com/ovidweb.cgi?T=JS&amp;NEWS=n&amp;CSC=Y&amp;PAGE=booktext&amp;D=books&amp;AN=01382784$&amp;XPATH=/PG(0)","http://ovidsp.ovid.com/ovidweb.cgi?T=JS&amp;NEWS=n&amp;CSC=Y&amp;PAGE=booktext&amp;D=books&amp;AN=01382784$&amp;XPATH=/PG(0)")</f>
        <v>http://ovidsp.ovid.com/ovidweb.cgi?T=JS&amp;NEWS=n&amp;CSC=Y&amp;PAGE=booktext&amp;D=books&amp;AN=01382784$&amp;XPATH=/PG(0)</v>
      </c>
      <c r="G119" s="2" t="s">
        <v>12</v>
      </c>
    </row>
    <row r="120" spans="1:7" x14ac:dyDescent="0.15">
      <c r="A120" s="2" t="s">
        <v>375</v>
      </c>
      <c r="B120" s="2" t="s">
        <v>376</v>
      </c>
      <c r="C120" s="2" t="s">
        <v>377</v>
      </c>
      <c r="D120" s="2" t="s">
        <v>378</v>
      </c>
      <c r="E120" s="2" t="s">
        <v>95</v>
      </c>
      <c r="F120" s="3" t="str">
        <f>HYPERLINK("http://ovidsp.ovid.com/ovidweb.cgi?T=JS&amp;NEWS=n&amp;CSC=Y&amp;PAGE=booktext&amp;D=books&amp;AN=00139881$&amp;XPATH=/PG(0)","http://ovidsp.ovid.com/ovidweb.cgi?T=JS&amp;NEWS=n&amp;CSC=Y&amp;PAGE=booktext&amp;D=books&amp;AN=00139881$&amp;XPATH=/PG(0)")</f>
        <v>http://ovidsp.ovid.com/ovidweb.cgi?T=JS&amp;NEWS=n&amp;CSC=Y&amp;PAGE=booktext&amp;D=books&amp;AN=00139881$&amp;XPATH=/PG(0)</v>
      </c>
      <c r="G120" s="2" t="s">
        <v>17</v>
      </c>
    </row>
    <row r="121" spans="1:7" x14ac:dyDescent="0.15">
      <c r="A121" s="2" t="s">
        <v>379</v>
      </c>
      <c r="B121" s="2" t="s">
        <v>380</v>
      </c>
      <c r="C121" s="2" t="s">
        <v>381</v>
      </c>
      <c r="D121" s="2" t="s">
        <v>10</v>
      </c>
      <c r="E121" s="2" t="s">
        <v>49</v>
      </c>
      <c r="F121" s="3" t="str">
        <f>HYPERLINK("http://ovidsp.ovid.com/ovidweb.cgi?T=JS&amp;NEWS=n&amp;CSC=Y&amp;PAGE=booktext&amp;D=books&amp;AN=01337346$&amp;XPATH=/PG(0)","http://ovidsp.ovid.com/ovidweb.cgi?T=JS&amp;NEWS=n&amp;CSC=Y&amp;PAGE=booktext&amp;D=books&amp;AN=01337346$&amp;XPATH=/PG(0)")</f>
        <v>http://ovidsp.ovid.com/ovidweb.cgi?T=JS&amp;NEWS=n&amp;CSC=Y&amp;PAGE=booktext&amp;D=books&amp;AN=01337346$&amp;XPATH=/PG(0)</v>
      </c>
      <c r="G121" s="2" t="s">
        <v>17</v>
      </c>
    </row>
    <row r="122" spans="1:7" x14ac:dyDescent="0.15">
      <c r="A122" s="2" t="s">
        <v>382</v>
      </c>
      <c r="B122" s="2" t="s">
        <v>383</v>
      </c>
      <c r="C122" s="2" t="s">
        <v>384</v>
      </c>
      <c r="D122" s="2" t="s">
        <v>10</v>
      </c>
      <c r="E122" s="2" t="s">
        <v>53</v>
      </c>
      <c r="F122" s="3" t="str">
        <f>HYPERLINK("http://ovidsp.ovid.com/ovidweb.cgi?T=JS&amp;NEWS=n&amp;CSC=Y&amp;PAGE=booktext&amp;D=books&amp;AN=00139882$&amp;XPATH=/PG(0)","http://ovidsp.ovid.com/ovidweb.cgi?T=JS&amp;NEWS=n&amp;CSC=Y&amp;PAGE=booktext&amp;D=books&amp;AN=00139882$&amp;XPATH=/PG(0)")</f>
        <v>http://ovidsp.ovid.com/ovidweb.cgi?T=JS&amp;NEWS=n&amp;CSC=Y&amp;PAGE=booktext&amp;D=books&amp;AN=00139882$&amp;XPATH=/PG(0)</v>
      </c>
      <c r="G122" s="2" t="s">
        <v>17</v>
      </c>
    </row>
    <row r="123" spans="1:7" x14ac:dyDescent="0.15">
      <c r="A123" s="2" t="s">
        <v>385</v>
      </c>
      <c r="B123" s="2" t="s">
        <v>386</v>
      </c>
      <c r="C123" s="2" t="s">
        <v>387</v>
      </c>
      <c r="D123" s="2" t="s">
        <v>10</v>
      </c>
      <c r="E123" s="2" t="s">
        <v>45</v>
      </c>
      <c r="F123" s="3" t="str">
        <f>HYPERLINK("http://ovidsp.ovid.com/ovidweb.cgi?T=JS&amp;NEWS=n&amp;CSC=Y&amp;PAGE=booktext&amp;D=books&amp;AN=01312096$&amp;XPATH=/PG(0)","http://ovidsp.ovid.com/ovidweb.cgi?T=JS&amp;NEWS=n&amp;CSC=Y&amp;PAGE=booktext&amp;D=books&amp;AN=01312096$&amp;XPATH=/PG(0)")</f>
        <v>http://ovidsp.ovid.com/ovidweb.cgi?T=JS&amp;NEWS=n&amp;CSC=Y&amp;PAGE=booktext&amp;D=books&amp;AN=01312096$&amp;XPATH=/PG(0)</v>
      </c>
      <c r="G123" s="2" t="s">
        <v>17</v>
      </c>
    </row>
    <row r="124" spans="1:7" x14ac:dyDescent="0.15">
      <c r="A124" s="2" t="s">
        <v>388</v>
      </c>
      <c r="B124" s="2" t="s">
        <v>389</v>
      </c>
      <c r="C124" s="2" t="s">
        <v>390</v>
      </c>
      <c r="D124" s="2" t="s">
        <v>10</v>
      </c>
      <c r="E124" s="2" t="s">
        <v>49</v>
      </c>
      <c r="F124" s="3" t="str">
        <f>HYPERLINK("http://ovidsp.ovid.com/ovidweb.cgi?T=JS&amp;NEWS=n&amp;CSC=Y&amp;PAGE=booktext&amp;D=books&amp;AN=00139883$&amp;XPATH=/PG(0)","http://ovidsp.ovid.com/ovidweb.cgi?T=JS&amp;NEWS=n&amp;CSC=Y&amp;PAGE=booktext&amp;D=books&amp;AN=00139883$&amp;XPATH=/PG(0)")</f>
        <v>http://ovidsp.ovid.com/ovidweb.cgi?T=JS&amp;NEWS=n&amp;CSC=Y&amp;PAGE=booktext&amp;D=books&amp;AN=00139883$&amp;XPATH=/PG(0)</v>
      </c>
      <c r="G124" s="2" t="s">
        <v>17</v>
      </c>
    </row>
    <row r="125" spans="1:7" x14ac:dyDescent="0.15">
      <c r="A125" s="2" t="s">
        <v>391</v>
      </c>
      <c r="B125" s="2" t="s">
        <v>392</v>
      </c>
      <c r="C125" s="2" t="s">
        <v>393</v>
      </c>
      <c r="D125" s="2" t="s">
        <v>10</v>
      </c>
      <c r="E125" s="2" t="s">
        <v>16</v>
      </c>
      <c r="F125" s="3" t="str">
        <f>HYPERLINK("http://ovidsp.ovid.com/ovidweb.cgi?T=JS&amp;NEWS=n&amp;CSC=Y&amp;PAGE=booktext&amp;D=books&amp;AN=01337662$&amp;XPATH=/PG(0)","http://ovidsp.ovid.com/ovidweb.cgi?T=JS&amp;NEWS=n&amp;CSC=Y&amp;PAGE=booktext&amp;D=books&amp;AN=01337662$&amp;XPATH=/PG(0)")</f>
        <v>http://ovidsp.ovid.com/ovidweb.cgi?T=JS&amp;NEWS=n&amp;CSC=Y&amp;PAGE=booktext&amp;D=books&amp;AN=01337662$&amp;XPATH=/PG(0)</v>
      </c>
      <c r="G125" s="2" t="s">
        <v>17</v>
      </c>
    </row>
    <row r="126" spans="1:7" x14ac:dyDescent="0.15">
      <c r="A126" s="2" t="s">
        <v>394</v>
      </c>
      <c r="B126" s="2" t="s">
        <v>395</v>
      </c>
      <c r="C126" s="2" t="s">
        <v>396</v>
      </c>
      <c r="D126" s="2" t="s">
        <v>10</v>
      </c>
      <c r="E126" s="2" t="s">
        <v>16</v>
      </c>
      <c r="F126" s="3" t="str">
        <f>HYPERLINK("http://ovidsp.ovid.com/ovidweb.cgi?T=JS&amp;NEWS=n&amp;CSC=Y&amp;PAGE=booktext&amp;D=books&amp;AN=01269235$&amp;XPATH=/PG(0)","http://ovidsp.ovid.com/ovidweb.cgi?T=JS&amp;NEWS=n&amp;CSC=Y&amp;PAGE=booktext&amp;D=books&amp;AN=01269235$&amp;XPATH=/PG(0)")</f>
        <v>http://ovidsp.ovid.com/ovidweb.cgi?T=JS&amp;NEWS=n&amp;CSC=Y&amp;PAGE=booktext&amp;D=books&amp;AN=01269235$&amp;XPATH=/PG(0)</v>
      </c>
      <c r="G126" s="2" t="s">
        <v>17</v>
      </c>
    </row>
    <row r="127" spans="1:7" x14ac:dyDescent="0.15">
      <c r="A127" s="2" t="s">
        <v>397</v>
      </c>
      <c r="B127" s="2" t="s">
        <v>398</v>
      </c>
      <c r="C127" s="2" t="s">
        <v>399</v>
      </c>
      <c r="D127" s="2" t="s">
        <v>10</v>
      </c>
      <c r="E127" s="2" t="s">
        <v>16</v>
      </c>
      <c r="F127" s="3" t="str">
        <f>HYPERLINK("http://ovidsp.ovid.com/ovidweb.cgi?T=JS&amp;NEWS=n&amp;CSC=Y&amp;PAGE=booktext&amp;D=books&amp;AN=01382462$&amp;XPATH=/PG(0)","http://ovidsp.ovid.com/ovidweb.cgi?T=JS&amp;NEWS=n&amp;CSC=Y&amp;PAGE=booktext&amp;D=books&amp;AN=01382462$&amp;XPATH=/PG(0)")</f>
        <v>http://ovidsp.ovid.com/ovidweb.cgi?T=JS&amp;NEWS=n&amp;CSC=Y&amp;PAGE=booktext&amp;D=books&amp;AN=01382462$&amp;XPATH=/PG(0)</v>
      </c>
      <c r="G127" s="2" t="s">
        <v>17</v>
      </c>
    </row>
    <row r="128" spans="1:7" x14ac:dyDescent="0.15">
      <c r="A128" s="2" t="s">
        <v>400</v>
      </c>
      <c r="B128" s="2" t="s">
        <v>401</v>
      </c>
      <c r="C128" s="2" t="s">
        <v>402</v>
      </c>
      <c r="D128" s="2" t="s">
        <v>10</v>
      </c>
      <c r="E128" s="2" t="s">
        <v>251</v>
      </c>
      <c r="F128" s="3" t="str">
        <f>HYPERLINK("http://ovidsp.ovid.com/ovidweb.cgi?T=JS&amp;NEWS=n&amp;CSC=Y&amp;PAGE=booktext&amp;D=books&amp;AN=00139885$&amp;XPATH=/PG(0)","http://ovidsp.ovid.com/ovidweb.cgi?T=JS&amp;NEWS=n&amp;CSC=Y&amp;PAGE=booktext&amp;D=books&amp;AN=00139885$&amp;XPATH=/PG(0)")</f>
        <v>http://ovidsp.ovid.com/ovidweb.cgi?T=JS&amp;NEWS=n&amp;CSC=Y&amp;PAGE=booktext&amp;D=books&amp;AN=00139885$&amp;XPATH=/PG(0)</v>
      </c>
      <c r="G128" s="2" t="s">
        <v>17</v>
      </c>
    </row>
    <row r="129" spans="1:7" x14ac:dyDescent="0.15">
      <c r="A129" s="2" t="s">
        <v>403</v>
      </c>
      <c r="B129" s="2" t="s">
        <v>404</v>
      </c>
      <c r="C129" s="2" t="s">
        <v>405</v>
      </c>
      <c r="D129" s="2" t="s">
        <v>10</v>
      </c>
      <c r="E129" s="2" t="s">
        <v>16</v>
      </c>
      <c r="F129" s="3" t="str">
        <f>HYPERLINK("http://ovidsp.ovid.com/ovidweb.cgi?T=JS&amp;NEWS=n&amp;CSC=Y&amp;PAGE=booktext&amp;D=books&amp;AN=01382739$&amp;XPATH=/PG(0)","http://ovidsp.ovid.com/ovidweb.cgi?T=JS&amp;NEWS=n&amp;CSC=Y&amp;PAGE=booktext&amp;D=books&amp;AN=01382739$&amp;XPATH=/PG(0)")</f>
        <v>http://ovidsp.ovid.com/ovidweb.cgi?T=JS&amp;NEWS=n&amp;CSC=Y&amp;PAGE=booktext&amp;D=books&amp;AN=01382739$&amp;XPATH=/PG(0)</v>
      </c>
      <c r="G129" s="2" t="s">
        <v>12</v>
      </c>
    </row>
    <row r="130" spans="1:7" x14ac:dyDescent="0.15">
      <c r="A130" s="2" t="s">
        <v>406</v>
      </c>
      <c r="B130" s="2" t="s">
        <v>407</v>
      </c>
      <c r="C130" s="2" t="s">
        <v>408</v>
      </c>
      <c r="D130" s="2" t="s">
        <v>10</v>
      </c>
      <c r="E130" s="2" t="s">
        <v>16</v>
      </c>
      <c r="F130" s="3" t="str">
        <f>HYPERLINK("http://ovidsp.ovid.com/ovidweb.cgi?T=JS&amp;NEWS=n&amp;CSC=Y&amp;PAGE=booktext&amp;D=books&amp;AN=01382696$&amp;XPATH=/PG(0)","http://ovidsp.ovid.com/ovidweb.cgi?T=JS&amp;NEWS=n&amp;CSC=Y&amp;PAGE=booktext&amp;D=books&amp;AN=01382696$&amp;XPATH=/PG(0)")</f>
        <v>http://ovidsp.ovid.com/ovidweb.cgi?T=JS&amp;NEWS=n&amp;CSC=Y&amp;PAGE=booktext&amp;D=books&amp;AN=01382696$&amp;XPATH=/PG(0)</v>
      </c>
      <c r="G130" s="2" t="s">
        <v>17</v>
      </c>
    </row>
    <row r="131" spans="1:7" x14ac:dyDescent="0.15">
      <c r="A131" s="2" t="s">
        <v>409</v>
      </c>
      <c r="B131" s="2" t="s">
        <v>410</v>
      </c>
      <c r="C131" s="2" t="s">
        <v>411</v>
      </c>
      <c r="D131" s="2" t="s">
        <v>10</v>
      </c>
      <c r="E131" s="2" t="s">
        <v>45</v>
      </c>
      <c r="F131" s="3" t="str">
        <f>HYPERLINK("http://ovidsp.ovid.com/ovidweb.cgi?T=JS&amp;NEWS=n&amp;CSC=Y&amp;PAGE=booktext&amp;D=books&amp;AN=01382463$&amp;XPATH=/PG(0)","http://ovidsp.ovid.com/ovidweb.cgi?T=JS&amp;NEWS=n&amp;CSC=Y&amp;PAGE=booktext&amp;D=books&amp;AN=01382463$&amp;XPATH=/PG(0)")</f>
        <v>http://ovidsp.ovid.com/ovidweb.cgi?T=JS&amp;NEWS=n&amp;CSC=Y&amp;PAGE=booktext&amp;D=books&amp;AN=01382463$&amp;XPATH=/PG(0)</v>
      </c>
      <c r="G131" s="2" t="s">
        <v>17</v>
      </c>
    </row>
    <row r="132" spans="1:7" x14ac:dyDescent="0.15">
      <c r="A132" s="2" t="s">
        <v>412</v>
      </c>
      <c r="B132" s="2" t="s">
        <v>413</v>
      </c>
      <c r="C132" s="2" t="s">
        <v>414</v>
      </c>
      <c r="D132" s="2" t="s">
        <v>10</v>
      </c>
      <c r="E132" s="2" t="s">
        <v>53</v>
      </c>
      <c r="F132" s="3" t="str">
        <f>HYPERLINK("http://ovidsp.ovid.com/ovidweb.cgi?T=JS&amp;NEWS=n&amp;CSC=Y&amp;PAGE=booktext&amp;D=books&amp;AN=00139886$&amp;XPATH=/PG(0)","http://ovidsp.ovid.com/ovidweb.cgi?T=JS&amp;NEWS=n&amp;CSC=Y&amp;PAGE=booktext&amp;D=books&amp;AN=00139886$&amp;XPATH=/PG(0)")</f>
        <v>http://ovidsp.ovid.com/ovidweb.cgi?T=JS&amp;NEWS=n&amp;CSC=Y&amp;PAGE=booktext&amp;D=books&amp;AN=00139886$&amp;XPATH=/PG(0)</v>
      </c>
      <c r="G132" s="2" t="s">
        <v>17</v>
      </c>
    </row>
    <row r="133" spans="1:7" x14ac:dyDescent="0.15">
      <c r="A133" s="2" t="s">
        <v>415</v>
      </c>
      <c r="B133" s="2" t="s">
        <v>416</v>
      </c>
      <c r="C133" s="2" t="s">
        <v>417</v>
      </c>
      <c r="D133" s="2" t="s">
        <v>10</v>
      </c>
      <c r="E133" s="2" t="s">
        <v>251</v>
      </c>
      <c r="F133" s="3" t="str">
        <f>HYPERLINK("http://ovidsp.ovid.com/ovidweb.cgi?T=JS&amp;NEWS=n&amp;CSC=Y&amp;PAGE=booktext&amp;D=books&amp;AN=00139887$&amp;XPATH=/PG(0)","http://ovidsp.ovid.com/ovidweb.cgi?T=JS&amp;NEWS=n&amp;CSC=Y&amp;PAGE=booktext&amp;D=books&amp;AN=00139887$&amp;XPATH=/PG(0)")</f>
        <v>http://ovidsp.ovid.com/ovidweb.cgi?T=JS&amp;NEWS=n&amp;CSC=Y&amp;PAGE=booktext&amp;D=books&amp;AN=00139887$&amp;XPATH=/PG(0)</v>
      </c>
      <c r="G133" s="2" t="s">
        <v>12</v>
      </c>
    </row>
    <row r="134" spans="1:7" x14ac:dyDescent="0.15">
      <c r="A134" s="2" t="s">
        <v>418</v>
      </c>
      <c r="B134" s="2" t="s">
        <v>419</v>
      </c>
      <c r="C134" s="2" t="s">
        <v>420</v>
      </c>
      <c r="D134" s="2" t="s">
        <v>10</v>
      </c>
      <c r="E134" s="2" t="s">
        <v>16</v>
      </c>
      <c r="F134" s="3" t="str">
        <f>HYPERLINK("http://ovidsp.ovid.com/ovidweb.cgi?T=JS&amp;NEWS=n&amp;CSC=Y&amp;PAGE=booktext&amp;D=books&amp;AN=01279733$&amp;XPATH=/PG(0)","http://ovidsp.ovid.com/ovidweb.cgi?T=JS&amp;NEWS=n&amp;CSC=Y&amp;PAGE=booktext&amp;D=books&amp;AN=01279733$&amp;XPATH=/PG(0)")</f>
        <v>http://ovidsp.ovid.com/ovidweb.cgi?T=JS&amp;NEWS=n&amp;CSC=Y&amp;PAGE=booktext&amp;D=books&amp;AN=01279733$&amp;XPATH=/PG(0)</v>
      </c>
      <c r="G134" s="2" t="s">
        <v>17</v>
      </c>
    </row>
    <row r="135" spans="1:7" x14ac:dyDescent="0.15">
      <c r="A135" s="2" t="s">
        <v>421</v>
      </c>
      <c r="B135" s="2" t="s">
        <v>422</v>
      </c>
      <c r="C135" s="2" t="s">
        <v>423</v>
      </c>
      <c r="D135" s="2" t="s">
        <v>10</v>
      </c>
      <c r="E135" s="2" t="s">
        <v>95</v>
      </c>
      <c r="F135" s="3" t="str">
        <f>HYPERLINK("http://ovidsp.ovid.com/ovidweb.cgi?T=JS&amp;NEWS=n&amp;CSC=Y&amp;PAGE=booktext&amp;D=books&amp;AN=01222979$&amp;XPATH=/PG(0)","http://ovidsp.ovid.com/ovidweb.cgi?T=JS&amp;NEWS=n&amp;CSC=Y&amp;PAGE=booktext&amp;D=books&amp;AN=01222979$&amp;XPATH=/PG(0)")</f>
        <v>http://ovidsp.ovid.com/ovidweb.cgi?T=JS&amp;NEWS=n&amp;CSC=Y&amp;PAGE=booktext&amp;D=books&amp;AN=01222979$&amp;XPATH=/PG(0)</v>
      </c>
      <c r="G135" s="2" t="s">
        <v>12</v>
      </c>
    </row>
    <row r="136" spans="1:7" x14ac:dyDescent="0.15">
      <c r="A136" s="2" t="s">
        <v>424</v>
      </c>
      <c r="B136" s="2" t="s">
        <v>425</v>
      </c>
      <c r="C136" s="2" t="s">
        <v>426</v>
      </c>
      <c r="D136" s="2" t="s">
        <v>10</v>
      </c>
      <c r="E136" s="2" t="s">
        <v>95</v>
      </c>
      <c r="F136" s="3" t="str">
        <f>HYPERLINK("http://ovidsp.ovid.com/ovidweb.cgi?T=JS&amp;NEWS=n&amp;CSC=Y&amp;PAGE=booktext&amp;D=books&amp;AN=00139888$&amp;XPATH=/PG(0)","http://ovidsp.ovid.com/ovidweb.cgi?T=JS&amp;NEWS=n&amp;CSC=Y&amp;PAGE=booktext&amp;D=books&amp;AN=00139888$&amp;XPATH=/PG(0)")</f>
        <v>http://ovidsp.ovid.com/ovidweb.cgi?T=JS&amp;NEWS=n&amp;CSC=Y&amp;PAGE=booktext&amp;D=books&amp;AN=00139888$&amp;XPATH=/PG(0)</v>
      </c>
      <c r="G136" s="2" t="s">
        <v>17</v>
      </c>
    </row>
    <row r="137" spans="1:7" x14ac:dyDescent="0.15">
      <c r="A137" s="2" t="s">
        <v>424</v>
      </c>
      <c r="B137" s="2" t="s">
        <v>427</v>
      </c>
      <c r="C137" s="2" t="s">
        <v>428</v>
      </c>
      <c r="D137" s="2" t="s">
        <v>10</v>
      </c>
      <c r="E137" s="2" t="s">
        <v>49</v>
      </c>
      <c r="F137" s="3" t="str">
        <f>HYPERLINK("http://ovidsp.ovid.com/ovidweb.cgi?T=JS&amp;NEWS=n&amp;CSC=Y&amp;PAGE=booktext&amp;D=books&amp;AN=01337347$&amp;XPATH=/PG(0)","http://ovidsp.ovid.com/ovidweb.cgi?T=JS&amp;NEWS=n&amp;CSC=Y&amp;PAGE=booktext&amp;D=books&amp;AN=01337347$&amp;XPATH=/PG(0)")</f>
        <v>http://ovidsp.ovid.com/ovidweb.cgi?T=JS&amp;NEWS=n&amp;CSC=Y&amp;PAGE=booktext&amp;D=books&amp;AN=01337347$&amp;XPATH=/PG(0)</v>
      </c>
      <c r="G137" s="2" t="s">
        <v>17</v>
      </c>
    </row>
    <row r="138" spans="1:7" x14ac:dyDescent="0.15">
      <c r="A138" s="2" t="s">
        <v>429</v>
      </c>
      <c r="B138" s="2" t="s">
        <v>430</v>
      </c>
      <c r="C138" s="2" t="s">
        <v>431</v>
      </c>
      <c r="D138" s="2" t="s">
        <v>10</v>
      </c>
      <c r="E138" s="2" t="s">
        <v>16</v>
      </c>
      <c r="F138" s="3" t="str">
        <f>HYPERLINK("http://ovidsp.ovid.com/ovidweb.cgi?T=JS&amp;NEWS=n&amp;CSC=Y&amp;PAGE=booktext&amp;D=books&amp;AN=01337478$&amp;XPATH=/PG(0)","http://ovidsp.ovid.com/ovidweb.cgi?T=JS&amp;NEWS=n&amp;CSC=Y&amp;PAGE=booktext&amp;D=books&amp;AN=01337478$&amp;XPATH=/PG(0)")</f>
        <v>http://ovidsp.ovid.com/ovidweb.cgi?T=JS&amp;NEWS=n&amp;CSC=Y&amp;PAGE=booktext&amp;D=books&amp;AN=01337478$&amp;XPATH=/PG(0)</v>
      </c>
      <c r="G138" s="2" t="s">
        <v>17</v>
      </c>
    </row>
    <row r="139" spans="1:7" x14ac:dyDescent="0.15">
      <c r="A139" s="2" t="s">
        <v>432</v>
      </c>
      <c r="B139" s="2" t="s">
        <v>433</v>
      </c>
      <c r="C139" s="2" t="s">
        <v>434</v>
      </c>
      <c r="D139" s="2" t="s">
        <v>10</v>
      </c>
      <c r="E139" s="2" t="s">
        <v>95</v>
      </c>
      <c r="F139" s="3" t="str">
        <f>HYPERLINK("http://ovidsp.ovid.com/ovidweb.cgi?T=JS&amp;NEWS=n&amp;CSC=Y&amp;PAGE=booktext&amp;D=books&amp;AN=01222980$&amp;XPATH=/PG(0)","http://ovidsp.ovid.com/ovidweb.cgi?T=JS&amp;NEWS=n&amp;CSC=Y&amp;PAGE=booktext&amp;D=books&amp;AN=01222980$&amp;XPATH=/PG(0)")</f>
        <v>http://ovidsp.ovid.com/ovidweb.cgi?T=JS&amp;NEWS=n&amp;CSC=Y&amp;PAGE=booktext&amp;D=books&amp;AN=01222980$&amp;XPATH=/PG(0)</v>
      </c>
      <c r="G139" s="2" t="s">
        <v>17</v>
      </c>
    </row>
    <row r="140" spans="1:7" x14ac:dyDescent="0.15">
      <c r="A140" s="2" t="s">
        <v>435</v>
      </c>
      <c r="B140" s="2" t="s">
        <v>436</v>
      </c>
      <c r="C140" s="2" t="s">
        <v>437</v>
      </c>
      <c r="D140" s="2" t="s">
        <v>10</v>
      </c>
      <c r="E140" s="2" t="s">
        <v>49</v>
      </c>
      <c r="F140" s="3" t="str">
        <f>HYPERLINK("http://ovidsp.ovid.com/ovidweb.cgi?T=JS&amp;NEWS=n&amp;CSC=Y&amp;PAGE=booktext&amp;D=books&amp;AN=01382464$&amp;XPATH=/PG(0)","http://ovidsp.ovid.com/ovidweb.cgi?T=JS&amp;NEWS=n&amp;CSC=Y&amp;PAGE=booktext&amp;D=books&amp;AN=01382464$&amp;XPATH=/PG(0)")</f>
        <v>http://ovidsp.ovid.com/ovidweb.cgi?T=JS&amp;NEWS=n&amp;CSC=Y&amp;PAGE=booktext&amp;D=books&amp;AN=01382464$&amp;XPATH=/PG(0)</v>
      </c>
      <c r="G140" s="2" t="s">
        <v>17</v>
      </c>
    </row>
    <row r="141" spans="1:7" x14ac:dyDescent="0.15">
      <c r="A141" s="2" t="s">
        <v>438</v>
      </c>
      <c r="B141" s="2" t="s">
        <v>439</v>
      </c>
      <c r="C141" s="2" t="s">
        <v>440</v>
      </c>
      <c r="D141" s="2" t="s">
        <v>10</v>
      </c>
      <c r="E141" s="2" t="s">
        <v>49</v>
      </c>
      <c r="F141" s="3" t="str">
        <f>HYPERLINK("http://ovidsp.ovid.com/ovidweb.cgi?T=JS&amp;NEWS=n&amp;CSC=Y&amp;PAGE=booktext&amp;D=books&amp;AN=01382414$&amp;XPATH=/PG(0)","http://ovidsp.ovid.com/ovidweb.cgi?T=JS&amp;NEWS=n&amp;CSC=Y&amp;PAGE=booktext&amp;D=books&amp;AN=01382414$&amp;XPATH=/PG(0)")</f>
        <v>http://ovidsp.ovid.com/ovidweb.cgi?T=JS&amp;NEWS=n&amp;CSC=Y&amp;PAGE=booktext&amp;D=books&amp;AN=01382414$&amp;XPATH=/PG(0)</v>
      </c>
      <c r="G141" s="2" t="s">
        <v>17</v>
      </c>
    </row>
    <row r="142" spans="1:7" x14ac:dyDescent="0.15">
      <c r="A142" s="2" t="s">
        <v>441</v>
      </c>
      <c r="B142" s="2" t="s">
        <v>442</v>
      </c>
      <c r="C142" s="2" t="s">
        <v>443</v>
      </c>
      <c r="D142" s="2" t="s">
        <v>10</v>
      </c>
      <c r="E142" s="2" t="s">
        <v>16</v>
      </c>
      <c r="F142" s="3" t="str">
        <f>HYPERLINK("http://ovidsp.ovid.com/ovidweb.cgi?T=JS&amp;NEWS=n&amp;CSC=Y&amp;PAGE=booktext&amp;D=books&amp;AN=01256987$&amp;XPATH=/PG(0)","http://ovidsp.ovid.com/ovidweb.cgi?T=JS&amp;NEWS=n&amp;CSC=Y&amp;PAGE=booktext&amp;D=books&amp;AN=01256987$&amp;XPATH=/PG(0)")</f>
        <v>http://ovidsp.ovid.com/ovidweb.cgi?T=JS&amp;NEWS=n&amp;CSC=Y&amp;PAGE=booktext&amp;D=books&amp;AN=01256987$&amp;XPATH=/PG(0)</v>
      </c>
      <c r="G142" s="2" t="s">
        <v>17</v>
      </c>
    </row>
    <row r="143" spans="1:7" x14ac:dyDescent="0.15">
      <c r="A143" s="2" t="s">
        <v>444</v>
      </c>
      <c r="B143" s="2" t="s">
        <v>445</v>
      </c>
      <c r="C143" s="2" t="s">
        <v>446</v>
      </c>
      <c r="D143" s="2" t="s">
        <v>10</v>
      </c>
      <c r="E143" s="2" t="s">
        <v>16</v>
      </c>
      <c r="F143" s="3" t="str">
        <f>HYPERLINK("http://ovidsp.ovid.com/ovidweb.cgi?T=JS&amp;NEWS=n&amp;CSC=Y&amp;PAGE=booktext&amp;D=books&amp;AN=01279734$&amp;XPATH=/PG(0)","http://ovidsp.ovid.com/ovidweb.cgi?T=JS&amp;NEWS=n&amp;CSC=Y&amp;PAGE=booktext&amp;D=books&amp;AN=01279734$&amp;XPATH=/PG(0)")</f>
        <v>http://ovidsp.ovid.com/ovidweb.cgi?T=JS&amp;NEWS=n&amp;CSC=Y&amp;PAGE=booktext&amp;D=books&amp;AN=01279734$&amp;XPATH=/PG(0)</v>
      </c>
      <c r="G143" s="2" t="s">
        <v>17</v>
      </c>
    </row>
    <row r="144" spans="1:7" x14ac:dyDescent="0.15">
      <c r="A144" s="2" t="s">
        <v>447</v>
      </c>
      <c r="B144" s="2" t="s">
        <v>448</v>
      </c>
      <c r="C144" s="2" t="s">
        <v>449</v>
      </c>
      <c r="D144" s="2" t="s">
        <v>10</v>
      </c>
      <c r="E144" s="2" t="s">
        <v>235</v>
      </c>
      <c r="F144" s="3" t="str">
        <f>HYPERLINK("http://ovidsp.ovid.com/ovidweb.cgi?T=JS&amp;NEWS=n&amp;CSC=Y&amp;PAGE=booktext&amp;D=books&amp;AN=01337505$&amp;XPATH=/PG(0)","http://ovidsp.ovid.com/ovidweb.cgi?T=JS&amp;NEWS=n&amp;CSC=Y&amp;PAGE=booktext&amp;D=books&amp;AN=01337505$&amp;XPATH=/PG(0)")</f>
        <v>http://ovidsp.ovid.com/ovidweb.cgi?T=JS&amp;NEWS=n&amp;CSC=Y&amp;PAGE=booktext&amp;D=books&amp;AN=01337505$&amp;XPATH=/PG(0)</v>
      </c>
      <c r="G144" s="2" t="s">
        <v>12</v>
      </c>
    </row>
    <row r="145" spans="1:7" x14ac:dyDescent="0.15">
      <c r="A145" s="2" t="s">
        <v>450</v>
      </c>
      <c r="B145" s="2" t="s">
        <v>451</v>
      </c>
      <c r="C145" s="2" t="s">
        <v>452</v>
      </c>
      <c r="D145" s="2" t="s">
        <v>10</v>
      </c>
      <c r="E145" s="2" t="s">
        <v>53</v>
      </c>
      <c r="F145" s="3" t="str">
        <f>HYPERLINK("http://ovidsp.ovid.com/ovidweb.cgi?T=JS&amp;NEWS=n&amp;CSC=Y&amp;PAGE=booktext&amp;D=books&amp;AN=01222981$&amp;XPATH=/PG(0)","http://ovidsp.ovid.com/ovidweb.cgi?T=JS&amp;NEWS=n&amp;CSC=Y&amp;PAGE=booktext&amp;D=books&amp;AN=01222981$&amp;XPATH=/PG(0)")</f>
        <v>http://ovidsp.ovid.com/ovidweb.cgi?T=JS&amp;NEWS=n&amp;CSC=Y&amp;PAGE=booktext&amp;D=books&amp;AN=01222981$&amp;XPATH=/PG(0)</v>
      </c>
      <c r="G145" s="2" t="s">
        <v>12</v>
      </c>
    </row>
    <row r="146" spans="1:7" x14ac:dyDescent="0.15">
      <c r="A146" s="2" t="s">
        <v>453</v>
      </c>
      <c r="B146" s="2" t="s">
        <v>454</v>
      </c>
      <c r="C146" s="2" t="s">
        <v>455</v>
      </c>
      <c r="D146" s="2" t="s">
        <v>10</v>
      </c>
      <c r="E146" s="2" t="s">
        <v>251</v>
      </c>
      <c r="F146" s="3" t="str">
        <f>HYPERLINK("http://ovidsp.ovid.com/ovidweb.cgi?T=JS&amp;NEWS=n&amp;CSC=Y&amp;PAGE=booktext&amp;D=books&amp;AN=00139889$&amp;XPATH=/PG(0)","http://ovidsp.ovid.com/ovidweb.cgi?T=JS&amp;NEWS=n&amp;CSC=Y&amp;PAGE=booktext&amp;D=books&amp;AN=00139889$&amp;XPATH=/PG(0)")</f>
        <v>http://ovidsp.ovid.com/ovidweb.cgi?T=JS&amp;NEWS=n&amp;CSC=Y&amp;PAGE=booktext&amp;D=books&amp;AN=00139889$&amp;XPATH=/PG(0)</v>
      </c>
      <c r="G146" s="2" t="s">
        <v>17</v>
      </c>
    </row>
    <row r="147" spans="1:7" x14ac:dyDescent="0.15">
      <c r="A147" s="2" t="s">
        <v>456</v>
      </c>
      <c r="B147" s="2" t="s">
        <v>457</v>
      </c>
      <c r="C147" s="2" t="s">
        <v>458</v>
      </c>
      <c r="D147" s="2" t="s">
        <v>10</v>
      </c>
      <c r="E147" s="2" t="s">
        <v>49</v>
      </c>
      <c r="F147" s="3" t="str">
        <f>HYPERLINK("http://ovidsp.ovid.com/ovidweb.cgi?T=JS&amp;NEWS=n&amp;CSC=Y&amp;PAGE=booktext&amp;D=books&amp;AN=01256996$&amp;XPATH=/PG(0)","http://ovidsp.ovid.com/ovidweb.cgi?T=JS&amp;NEWS=n&amp;CSC=Y&amp;PAGE=booktext&amp;D=books&amp;AN=01256996$&amp;XPATH=/PG(0)")</f>
        <v>http://ovidsp.ovid.com/ovidweb.cgi?T=JS&amp;NEWS=n&amp;CSC=Y&amp;PAGE=booktext&amp;D=books&amp;AN=01256996$&amp;XPATH=/PG(0)</v>
      </c>
      <c r="G147" s="2" t="s">
        <v>17</v>
      </c>
    </row>
    <row r="148" spans="1:7" x14ac:dyDescent="0.15">
      <c r="A148" s="2" t="s">
        <v>459</v>
      </c>
      <c r="B148" s="2" t="s">
        <v>460</v>
      </c>
      <c r="C148" s="2" t="s">
        <v>461</v>
      </c>
      <c r="D148" s="2" t="s">
        <v>10</v>
      </c>
      <c r="E148" s="2" t="s">
        <v>49</v>
      </c>
      <c r="F148" s="3" t="str">
        <f>HYPERLINK("http://ovidsp.ovid.com/ovidweb.cgi?T=JS&amp;NEWS=n&amp;CSC=Y&amp;PAGE=booktext&amp;D=books&amp;AN=00139913$&amp;XPATH=/PG(0)","http://ovidsp.ovid.com/ovidweb.cgi?T=JS&amp;NEWS=n&amp;CSC=Y&amp;PAGE=booktext&amp;D=books&amp;AN=00139913$&amp;XPATH=/PG(0)")</f>
        <v>http://ovidsp.ovid.com/ovidweb.cgi?T=JS&amp;NEWS=n&amp;CSC=Y&amp;PAGE=booktext&amp;D=books&amp;AN=00139913$&amp;XPATH=/PG(0)</v>
      </c>
      <c r="G148" s="2" t="s">
        <v>17</v>
      </c>
    </row>
    <row r="149" spans="1:7" x14ac:dyDescent="0.15">
      <c r="A149" s="2" t="s">
        <v>462</v>
      </c>
      <c r="B149" s="2" t="s">
        <v>463</v>
      </c>
      <c r="C149" s="2" t="s">
        <v>464</v>
      </c>
      <c r="D149" s="2" t="s">
        <v>10</v>
      </c>
      <c r="E149" s="2" t="s">
        <v>45</v>
      </c>
      <c r="F149" s="3" t="str">
        <f>HYPERLINK("http://ovidsp.ovid.com/ovidweb.cgi?T=JS&amp;NEWS=n&amp;CSC=Y&amp;PAGE=booktext&amp;D=books&amp;AN=00149848$&amp;XPATH=/PG(0)","http://ovidsp.ovid.com/ovidweb.cgi?T=JS&amp;NEWS=n&amp;CSC=Y&amp;PAGE=booktext&amp;D=books&amp;AN=00149848$&amp;XPATH=/PG(0)")</f>
        <v>http://ovidsp.ovid.com/ovidweb.cgi?T=JS&amp;NEWS=n&amp;CSC=Y&amp;PAGE=booktext&amp;D=books&amp;AN=00149848$&amp;XPATH=/PG(0)</v>
      </c>
      <c r="G149" s="2" t="s">
        <v>17</v>
      </c>
    </row>
    <row r="150" spans="1:7" x14ac:dyDescent="0.15">
      <c r="A150" s="2" t="s">
        <v>465</v>
      </c>
      <c r="B150" s="2" t="s">
        <v>466</v>
      </c>
      <c r="C150" s="2" t="s">
        <v>467</v>
      </c>
      <c r="D150" s="2" t="s">
        <v>10</v>
      </c>
      <c r="E150" s="2" t="s">
        <v>95</v>
      </c>
      <c r="F150" s="3" t="str">
        <f>HYPERLINK("http://ovidsp.ovid.com/ovidweb.cgi?T=JS&amp;NEWS=n&amp;CSC=Y&amp;PAGE=booktext&amp;D=books&amp;AN=01337523$&amp;XPATH=/PG(0)","http://ovidsp.ovid.com/ovidweb.cgi?T=JS&amp;NEWS=n&amp;CSC=Y&amp;PAGE=booktext&amp;D=books&amp;AN=01337523$&amp;XPATH=/PG(0)")</f>
        <v>http://ovidsp.ovid.com/ovidweb.cgi?T=JS&amp;NEWS=n&amp;CSC=Y&amp;PAGE=booktext&amp;D=books&amp;AN=01337523$&amp;XPATH=/PG(0)</v>
      </c>
      <c r="G150" s="2" t="s">
        <v>17</v>
      </c>
    </row>
    <row r="151" spans="1:7" x14ac:dyDescent="0.15">
      <c r="A151" s="2" t="s">
        <v>468</v>
      </c>
      <c r="B151" s="2" t="s">
        <v>469</v>
      </c>
      <c r="C151" s="2" t="s">
        <v>470</v>
      </c>
      <c r="D151" s="2" t="s">
        <v>10</v>
      </c>
      <c r="E151" s="2" t="s">
        <v>16</v>
      </c>
      <c r="F151" s="3" t="str">
        <f>HYPERLINK("http://ovidsp.ovid.com/ovidweb.cgi?T=JS&amp;NEWS=n&amp;CSC=Y&amp;PAGE=booktext&amp;D=books&amp;AN=01382465$&amp;XPATH=/PG(0)","http://ovidsp.ovid.com/ovidweb.cgi?T=JS&amp;NEWS=n&amp;CSC=Y&amp;PAGE=booktext&amp;D=books&amp;AN=01382465$&amp;XPATH=/PG(0)")</f>
        <v>http://ovidsp.ovid.com/ovidweb.cgi?T=JS&amp;NEWS=n&amp;CSC=Y&amp;PAGE=booktext&amp;D=books&amp;AN=01382465$&amp;XPATH=/PG(0)</v>
      </c>
      <c r="G151" s="2" t="s">
        <v>17</v>
      </c>
    </row>
    <row r="152" spans="1:7" x14ac:dyDescent="0.15">
      <c r="A152" s="2" t="s">
        <v>471</v>
      </c>
      <c r="B152" s="2" t="s">
        <v>472</v>
      </c>
      <c r="C152" s="2" t="s">
        <v>473</v>
      </c>
      <c r="D152" s="2" t="s">
        <v>10</v>
      </c>
      <c r="E152" s="2" t="s">
        <v>95</v>
      </c>
      <c r="F152" s="3" t="str">
        <f>HYPERLINK("http://ovidsp.ovid.com/ovidweb.cgi?T=JS&amp;NEWS=n&amp;CSC=Y&amp;PAGE=booktext&amp;D=books&amp;AN=01382718$&amp;XPATH=/PG(0)","http://ovidsp.ovid.com/ovidweb.cgi?T=JS&amp;NEWS=n&amp;CSC=Y&amp;PAGE=booktext&amp;D=books&amp;AN=01382718$&amp;XPATH=/PG(0)")</f>
        <v>http://ovidsp.ovid.com/ovidweb.cgi?T=JS&amp;NEWS=n&amp;CSC=Y&amp;PAGE=booktext&amp;D=books&amp;AN=01382718$&amp;XPATH=/PG(0)</v>
      </c>
      <c r="G152" s="2" t="s">
        <v>12</v>
      </c>
    </row>
    <row r="153" spans="1:7" x14ac:dyDescent="0.15">
      <c r="A153" s="2" t="s">
        <v>474</v>
      </c>
      <c r="B153" s="2" t="s">
        <v>475</v>
      </c>
      <c r="C153" s="2" t="s">
        <v>476</v>
      </c>
      <c r="D153" s="2" t="s">
        <v>10</v>
      </c>
      <c r="E153" s="2" t="s">
        <v>53</v>
      </c>
      <c r="F153" s="3" t="str">
        <f>HYPERLINK("http://ovidsp.ovid.com/ovidweb.cgi?T=JS&amp;NEWS=n&amp;CSC=Y&amp;PAGE=booktext&amp;D=books&amp;AN=00149840$&amp;XPATH=/PG(0)","http://ovidsp.ovid.com/ovidweb.cgi?T=JS&amp;NEWS=n&amp;CSC=Y&amp;PAGE=booktext&amp;D=books&amp;AN=00149840$&amp;XPATH=/PG(0)")</f>
        <v>http://ovidsp.ovid.com/ovidweb.cgi?T=JS&amp;NEWS=n&amp;CSC=Y&amp;PAGE=booktext&amp;D=books&amp;AN=00149840$&amp;XPATH=/PG(0)</v>
      </c>
      <c r="G153" s="2" t="s">
        <v>12</v>
      </c>
    </row>
    <row r="154" spans="1:7" x14ac:dyDescent="0.15">
      <c r="A154" s="2" t="s">
        <v>477</v>
      </c>
      <c r="B154" s="2" t="s">
        <v>478</v>
      </c>
      <c r="C154" s="2" t="s">
        <v>479</v>
      </c>
      <c r="D154" s="2" t="s">
        <v>10</v>
      </c>
      <c r="E154" s="2" t="s">
        <v>16</v>
      </c>
      <c r="F154" s="3" t="str">
        <f>HYPERLINK("http://ovidsp.ovid.com/ovidweb.cgi?T=JS&amp;NEWS=n&amp;CSC=Y&amp;PAGE=booktext&amp;D=books&amp;AN=01382469$&amp;XPATH=/PG(0)","http://ovidsp.ovid.com/ovidweb.cgi?T=JS&amp;NEWS=n&amp;CSC=Y&amp;PAGE=booktext&amp;D=books&amp;AN=01382469$&amp;XPATH=/PG(0)")</f>
        <v>http://ovidsp.ovid.com/ovidweb.cgi?T=JS&amp;NEWS=n&amp;CSC=Y&amp;PAGE=booktext&amp;D=books&amp;AN=01382469$&amp;XPATH=/PG(0)</v>
      </c>
      <c r="G154" s="2" t="s">
        <v>17</v>
      </c>
    </row>
    <row r="155" spans="1:7" x14ac:dyDescent="0.15">
      <c r="A155" s="2" t="s">
        <v>480</v>
      </c>
      <c r="B155" s="2" t="s">
        <v>481</v>
      </c>
      <c r="C155" s="2" t="s">
        <v>482</v>
      </c>
      <c r="D155" s="2" t="s">
        <v>10</v>
      </c>
      <c r="E155" s="2" t="s">
        <v>16</v>
      </c>
      <c r="F155" s="3" t="str">
        <f>HYPERLINK("http://ovidsp.ovid.com/ovidweb.cgi?T=JS&amp;NEWS=n&amp;CSC=Y&amp;PAGE=booktext&amp;D=books&amp;AN=01382470$&amp;XPATH=/PG(0)","http://ovidsp.ovid.com/ovidweb.cgi?T=JS&amp;NEWS=n&amp;CSC=Y&amp;PAGE=booktext&amp;D=books&amp;AN=01382470$&amp;XPATH=/PG(0)")</f>
        <v>http://ovidsp.ovid.com/ovidweb.cgi?T=JS&amp;NEWS=n&amp;CSC=Y&amp;PAGE=booktext&amp;D=books&amp;AN=01382470$&amp;XPATH=/PG(0)</v>
      </c>
      <c r="G155" s="2" t="s">
        <v>17</v>
      </c>
    </row>
    <row r="156" spans="1:7" x14ac:dyDescent="0.15">
      <c r="A156" s="2" t="s">
        <v>483</v>
      </c>
      <c r="B156" s="2" t="s">
        <v>484</v>
      </c>
      <c r="C156" s="2" t="s">
        <v>485</v>
      </c>
      <c r="D156" s="2" t="s">
        <v>10</v>
      </c>
      <c r="E156" s="2" t="s">
        <v>16</v>
      </c>
      <c r="F156" s="3" t="str">
        <f>HYPERLINK("http://ovidsp.ovid.com/ovidweb.cgi?T=JS&amp;NEWS=n&amp;CSC=Y&amp;PAGE=booktext&amp;D=books&amp;AN=01382471$&amp;XPATH=/PG(0)","http://ovidsp.ovid.com/ovidweb.cgi?T=JS&amp;NEWS=n&amp;CSC=Y&amp;PAGE=booktext&amp;D=books&amp;AN=01382471$&amp;XPATH=/PG(0)")</f>
        <v>http://ovidsp.ovid.com/ovidweb.cgi?T=JS&amp;NEWS=n&amp;CSC=Y&amp;PAGE=booktext&amp;D=books&amp;AN=01382471$&amp;XPATH=/PG(0)</v>
      </c>
      <c r="G156" s="2" t="s">
        <v>17</v>
      </c>
    </row>
    <row r="157" spans="1:7" x14ac:dyDescent="0.15">
      <c r="A157" s="2" t="s">
        <v>486</v>
      </c>
      <c r="B157" s="2" t="s">
        <v>487</v>
      </c>
      <c r="C157" s="2" t="s">
        <v>488</v>
      </c>
      <c r="D157" s="2" t="s">
        <v>10</v>
      </c>
      <c r="E157" s="2" t="s">
        <v>16</v>
      </c>
      <c r="F157" s="3" t="str">
        <f>HYPERLINK("http://ovidsp.ovid.com/ovidweb.cgi?T=JS&amp;NEWS=n&amp;CSC=Y&amp;PAGE=booktext&amp;D=books&amp;AN=01382680$&amp;XPATH=/PG(0)","http://ovidsp.ovid.com/ovidweb.cgi?T=JS&amp;NEWS=n&amp;CSC=Y&amp;PAGE=booktext&amp;D=books&amp;AN=01382680$&amp;XPATH=/PG(0)")</f>
        <v>http://ovidsp.ovid.com/ovidweb.cgi?T=JS&amp;NEWS=n&amp;CSC=Y&amp;PAGE=booktext&amp;D=books&amp;AN=01382680$&amp;XPATH=/PG(0)</v>
      </c>
      <c r="G157" s="2" t="s">
        <v>17</v>
      </c>
    </row>
    <row r="158" spans="1:7" x14ac:dyDescent="0.15">
      <c r="A158" s="2" t="s">
        <v>489</v>
      </c>
      <c r="B158" s="2" t="s">
        <v>490</v>
      </c>
      <c r="C158" s="2" t="s">
        <v>491</v>
      </c>
      <c r="D158" s="2" t="s">
        <v>10</v>
      </c>
      <c r="E158" s="2" t="s">
        <v>16</v>
      </c>
      <c r="F158" s="3" t="str">
        <f>HYPERLINK("http://ovidsp.ovid.com/ovidweb.cgi?T=JS&amp;NEWS=n&amp;CSC=Y&amp;PAGE=booktext&amp;D=books&amp;AN=01222982$&amp;XPATH=/PG(0)","http://ovidsp.ovid.com/ovidweb.cgi?T=JS&amp;NEWS=n&amp;CSC=Y&amp;PAGE=booktext&amp;D=books&amp;AN=01222982$&amp;XPATH=/PG(0)")</f>
        <v>http://ovidsp.ovid.com/ovidweb.cgi?T=JS&amp;NEWS=n&amp;CSC=Y&amp;PAGE=booktext&amp;D=books&amp;AN=01222982$&amp;XPATH=/PG(0)</v>
      </c>
      <c r="G158" s="2" t="s">
        <v>17</v>
      </c>
    </row>
    <row r="159" spans="1:7" x14ac:dyDescent="0.15">
      <c r="A159" s="2" t="s">
        <v>492</v>
      </c>
      <c r="B159" s="2" t="s">
        <v>493</v>
      </c>
      <c r="C159" s="2" t="s">
        <v>494</v>
      </c>
      <c r="D159" s="2" t="s">
        <v>10</v>
      </c>
      <c r="E159" s="2" t="s">
        <v>16</v>
      </c>
      <c r="F159" s="3" t="str">
        <f>HYPERLINK("http://ovidsp.ovid.com/ovidweb.cgi?T=JS&amp;NEWS=n&amp;CSC=Y&amp;PAGE=booktext&amp;D=books&amp;AN=01256997$&amp;XPATH=/PG(0)","http://ovidsp.ovid.com/ovidweb.cgi?T=JS&amp;NEWS=n&amp;CSC=Y&amp;PAGE=booktext&amp;D=books&amp;AN=01256997$&amp;XPATH=/PG(0)")</f>
        <v>http://ovidsp.ovid.com/ovidweb.cgi?T=JS&amp;NEWS=n&amp;CSC=Y&amp;PAGE=booktext&amp;D=books&amp;AN=01256997$&amp;XPATH=/PG(0)</v>
      </c>
      <c r="G159" s="2" t="s">
        <v>17</v>
      </c>
    </row>
    <row r="160" spans="1:7" x14ac:dyDescent="0.15">
      <c r="A160" s="2" t="s">
        <v>495</v>
      </c>
      <c r="B160" s="2" t="s">
        <v>496</v>
      </c>
      <c r="C160" s="2" t="s">
        <v>497</v>
      </c>
      <c r="D160" s="2" t="s">
        <v>10</v>
      </c>
      <c r="E160" s="2" t="s">
        <v>45</v>
      </c>
      <c r="F160" s="3" t="str">
        <f>HYPERLINK("http://ovidsp.ovid.com/ovidweb.cgi?T=JS&amp;NEWS=n&amp;CSC=Y&amp;PAGE=booktext&amp;D=books&amp;AN=01376497$&amp;XPATH=/PG(0)","http://ovidsp.ovid.com/ovidweb.cgi?T=JS&amp;NEWS=n&amp;CSC=Y&amp;PAGE=booktext&amp;D=books&amp;AN=01376497$&amp;XPATH=/PG(0)")</f>
        <v>http://ovidsp.ovid.com/ovidweb.cgi?T=JS&amp;NEWS=n&amp;CSC=Y&amp;PAGE=booktext&amp;D=books&amp;AN=01376497$&amp;XPATH=/PG(0)</v>
      </c>
      <c r="G160" s="2" t="s">
        <v>12</v>
      </c>
    </row>
    <row r="161" spans="1:7" x14ac:dyDescent="0.15">
      <c r="A161" s="2" t="s">
        <v>498</v>
      </c>
      <c r="B161" s="2" t="s">
        <v>499</v>
      </c>
      <c r="C161" s="2" t="s">
        <v>500</v>
      </c>
      <c r="D161" s="2" t="s">
        <v>10</v>
      </c>
      <c r="E161" s="2" t="s">
        <v>16</v>
      </c>
      <c r="F161" s="3" t="str">
        <f>HYPERLINK("http://ovidsp.ovid.com/ovidweb.cgi?T=JS&amp;NEWS=n&amp;CSC=Y&amp;PAGE=booktext&amp;D=books&amp;AN=01256998$&amp;XPATH=/PG(0)","http://ovidsp.ovid.com/ovidweb.cgi?T=JS&amp;NEWS=n&amp;CSC=Y&amp;PAGE=booktext&amp;D=books&amp;AN=01256998$&amp;XPATH=/PG(0)")</f>
        <v>http://ovidsp.ovid.com/ovidweb.cgi?T=JS&amp;NEWS=n&amp;CSC=Y&amp;PAGE=booktext&amp;D=books&amp;AN=01256998$&amp;XPATH=/PG(0)</v>
      </c>
      <c r="G161" s="2" t="s">
        <v>12</v>
      </c>
    </row>
    <row r="162" spans="1:7" x14ac:dyDescent="0.15">
      <c r="A162" s="2" t="s">
        <v>501</v>
      </c>
      <c r="B162" s="2" t="s">
        <v>502</v>
      </c>
      <c r="C162" s="2" t="s">
        <v>503</v>
      </c>
      <c r="D162" s="2" t="s">
        <v>10</v>
      </c>
      <c r="E162" s="2" t="s">
        <v>53</v>
      </c>
      <c r="F162" s="3" t="str">
        <f>HYPERLINK("http://ovidsp.ovid.com/ovidweb.cgi?T=JS&amp;NEWS=n&amp;CSC=Y&amp;PAGE=booktext&amp;D=books&amp;AN=01222983$&amp;XPATH=/PG(0)","http://ovidsp.ovid.com/ovidweb.cgi?T=JS&amp;NEWS=n&amp;CSC=Y&amp;PAGE=booktext&amp;D=books&amp;AN=01222983$&amp;XPATH=/PG(0)")</f>
        <v>http://ovidsp.ovid.com/ovidweb.cgi?T=JS&amp;NEWS=n&amp;CSC=Y&amp;PAGE=booktext&amp;D=books&amp;AN=01222983$&amp;XPATH=/PG(0)</v>
      </c>
      <c r="G162" s="2" t="s">
        <v>17</v>
      </c>
    </row>
    <row r="163" spans="1:7" x14ac:dyDescent="0.15">
      <c r="A163" s="2" t="s">
        <v>504</v>
      </c>
      <c r="B163" s="2" t="s">
        <v>505</v>
      </c>
      <c r="C163" s="2" t="s">
        <v>506</v>
      </c>
      <c r="D163" s="2" t="s">
        <v>10</v>
      </c>
      <c r="E163" s="2" t="s">
        <v>45</v>
      </c>
      <c r="F163" s="3" t="str">
        <f>HYPERLINK("http://ovidsp.ovid.com/ovidweb.cgi?T=JS&amp;NEWS=n&amp;CSC=Y&amp;PAGE=booktext&amp;D=books&amp;AN=01324484$&amp;XPATH=/PG(0)","http://ovidsp.ovid.com/ovidweb.cgi?T=JS&amp;NEWS=n&amp;CSC=Y&amp;PAGE=booktext&amp;D=books&amp;AN=01324484$&amp;XPATH=/PG(0)")</f>
        <v>http://ovidsp.ovid.com/ovidweb.cgi?T=JS&amp;NEWS=n&amp;CSC=Y&amp;PAGE=booktext&amp;D=books&amp;AN=01324484$&amp;XPATH=/PG(0)</v>
      </c>
      <c r="G163" s="2" t="s">
        <v>17</v>
      </c>
    </row>
    <row r="164" spans="1:7" x14ac:dyDescent="0.15">
      <c r="A164" s="2" t="s">
        <v>507</v>
      </c>
      <c r="B164" s="2" t="s">
        <v>508</v>
      </c>
      <c r="C164" s="2" t="s">
        <v>509</v>
      </c>
      <c r="D164" s="2" t="s">
        <v>10</v>
      </c>
      <c r="E164" s="2" t="s">
        <v>16</v>
      </c>
      <c r="F164" s="3" t="str">
        <f>HYPERLINK("http://ovidsp.ovid.com/ovidweb.cgi?T=JS&amp;NEWS=n&amp;CSC=Y&amp;PAGE=booktext&amp;D=books&amp;AN=01279735$&amp;XPATH=/PG(0)","http://ovidsp.ovid.com/ovidweb.cgi?T=JS&amp;NEWS=n&amp;CSC=Y&amp;PAGE=booktext&amp;D=books&amp;AN=01279735$&amp;XPATH=/PG(0)")</f>
        <v>http://ovidsp.ovid.com/ovidweb.cgi?T=JS&amp;NEWS=n&amp;CSC=Y&amp;PAGE=booktext&amp;D=books&amp;AN=01279735$&amp;XPATH=/PG(0)</v>
      </c>
      <c r="G164" s="2" t="s">
        <v>17</v>
      </c>
    </row>
    <row r="165" spans="1:7" x14ac:dyDescent="0.15">
      <c r="A165" s="2" t="s">
        <v>510</v>
      </c>
      <c r="B165" s="2" t="s">
        <v>511</v>
      </c>
      <c r="C165" s="2" t="s">
        <v>512</v>
      </c>
      <c r="D165" s="2" t="s">
        <v>10</v>
      </c>
      <c r="E165" s="2" t="s">
        <v>45</v>
      </c>
      <c r="F165" s="3" t="str">
        <f>HYPERLINK("http://ovidsp.ovid.com/ovidweb.cgi?T=JS&amp;NEWS=n&amp;CSC=Y&amp;PAGE=booktext&amp;D=books&amp;AN=01382767$&amp;XPATH=/PG(0)","http://ovidsp.ovid.com/ovidweb.cgi?T=JS&amp;NEWS=n&amp;CSC=Y&amp;PAGE=booktext&amp;D=books&amp;AN=01382767$&amp;XPATH=/PG(0)")</f>
        <v>http://ovidsp.ovid.com/ovidweb.cgi?T=JS&amp;NEWS=n&amp;CSC=Y&amp;PAGE=booktext&amp;D=books&amp;AN=01382767$&amp;XPATH=/PG(0)</v>
      </c>
      <c r="G165" s="2" t="s">
        <v>12</v>
      </c>
    </row>
    <row r="166" spans="1:7" x14ac:dyDescent="0.15">
      <c r="A166" s="2" t="s">
        <v>513</v>
      </c>
      <c r="B166" s="2" t="s">
        <v>514</v>
      </c>
      <c r="C166" s="2" t="s">
        <v>515</v>
      </c>
      <c r="D166" s="2" t="s">
        <v>10</v>
      </c>
      <c r="E166" s="2" t="s">
        <v>16</v>
      </c>
      <c r="F166" s="3" t="str">
        <f>HYPERLINK("http://ovidsp.ovid.com/ovidweb.cgi?T=JS&amp;NEWS=n&amp;CSC=Y&amp;PAGE=booktext&amp;D=books&amp;AN=01382472$&amp;XPATH=/PG(0)","http://ovidsp.ovid.com/ovidweb.cgi?T=JS&amp;NEWS=n&amp;CSC=Y&amp;PAGE=booktext&amp;D=books&amp;AN=01382472$&amp;XPATH=/PG(0)")</f>
        <v>http://ovidsp.ovid.com/ovidweb.cgi?T=JS&amp;NEWS=n&amp;CSC=Y&amp;PAGE=booktext&amp;D=books&amp;AN=01382472$&amp;XPATH=/PG(0)</v>
      </c>
      <c r="G166" s="2" t="s">
        <v>17</v>
      </c>
    </row>
    <row r="167" spans="1:7" x14ac:dyDescent="0.15">
      <c r="A167" s="2" t="s">
        <v>516</v>
      </c>
      <c r="B167" s="2" t="s">
        <v>517</v>
      </c>
      <c r="C167" s="2" t="s">
        <v>518</v>
      </c>
      <c r="D167" s="2" t="s">
        <v>10</v>
      </c>
      <c r="E167" s="2" t="s">
        <v>45</v>
      </c>
      <c r="F167" s="3" t="str">
        <f>HYPERLINK("http://ovidsp.ovid.com/ovidweb.cgi?T=JS&amp;NEWS=n&amp;CSC=Y&amp;PAGE=booktext&amp;D=books&amp;AN=01382473$&amp;XPATH=/PG(0)","http://ovidsp.ovid.com/ovidweb.cgi?T=JS&amp;NEWS=n&amp;CSC=Y&amp;PAGE=booktext&amp;D=books&amp;AN=01382473$&amp;XPATH=/PG(0)")</f>
        <v>http://ovidsp.ovid.com/ovidweb.cgi?T=JS&amp;NEWS=n&amp;CSC=Y&amp;PAGE=booktext&amp;D=books&amp;AN=01382473$&amp;XPATH=/PG(0)</v>
      </c>
      <c r="G167" s="2" t="s">
        <v>17</v>
      </c>
    </row>
    <row r="168" spans="1:7" x14ac:dyDescent="0.15">
      <c r="A168" s="2" t="s">
        <v>519</v>
      </c>
      <c r="B168" s="2" t="s">
        <v>520</v>
      </c>
      <c r="C168" s="2" t="s">
        <v>521</v>
      </c>
      <c r="D168" s="2" t="s">
        <v>10</v>
      </c>
      <c r="E168" s="2" t="s">
        <v>16</v>
      </c>
      <c r="F168" s="3" t="str">
        <f>HYPERLINK("http://ovidsp.ovid.com/ovidweb.cgi?T=JS&amp;NEWS=n&amp;CSC=Y&amp;PAGE=booktext&amp;D=books&amp;AN=01382474$&amp;XPATH=/PG(0)","http://ovidsp.ovid.com/ovidweb.cgi?T=JS&amp;NEWS=n&amp;CSC=Y&amp;PAGE=booktext&amp;D=books&amp;AN=01382474$&amp;XPATH=/PG(0)")</f>
        <v>http://ovidsp.ovid.com/ovidweb.cgi?T=JS&amp;NEWS=n&amp;CSC=Y&amp;PAGE=booktext&amp;D=books&amp;AN=01382474$&amp;XPATH=/PG(0)</v>
      </c>
      <c r="G168" s="2" t="s">
        <v>17</v>
      </c>
    </row>
    <row r="169" spans="1:7" x14ac:dyDescent="0.15">
      <c r="A169" s="2" t="s">
        <v>522</v>
      </c>
      <c r="B169" s="2" t="s">
        <v>523</v>
      </c>
      <c r="C169" s="2" t="s">
        <v>524</v>
      </c>
      <c r="D169" s="2" t="s">
        <v>10</v>
      </c>
      <c r="E169" s="2" t="s">
        <v>16</v>
      </c>
      <c r="F169" s="3" t="str">
        <f>HYPERLINK("http://ovidsp.ovid.com/ovidweb.cgi?T=JS&amp;NEWS=n&amp;CSC=Y&amp;PAGE=booktext&amp;D=books&amp;AN=01382475$&amp;XPATH=/PG(0)","http://ovidsp.ovid.com/ovidweb.cgi?T=JS&amp;NEWS=n&amp;CSC=Y&amp;PAGE=booktext&amp;D=books&amp;AN=01382475$&amp;XPATH=/PG(0)")</f>
        <v>http://ovidsp.ovid.com/ovidweb.cgi?T=JS&amp;NEWS=n&amp;CSC=Y&amp;PAGE=booktext&amp;D=books&amp;AN=01382475$&amp;XPATH=/PG(0)</v>
      </c>
      <c r="G169" s="2" t="s">
        <v>17</v>
      </c>
    </row>
    <row r="170" spans="1:7" x14ac:dyDescent="0.15">
      <c r="A170" s="2" t="s">
        <v>525</v>
      </c>
      <c r="B170" s="2" t="s">
        <v>526</v>
      </c>
      <c r="C170" s="2" t="s">
        <v>527</v>
      </c>
      <c r="D170" s="2" t="s">
        <v>10</v>
      </c>
      <c r="E170" s="2" t="s">
        <v>16</v>
      </c>
      <c r="F170" s="3" t="str">
        <f>HYPERLINK("http://ovidsp.ovid.com/ovidweb.cgi?T=JS&amp;NEWS=n&amp;CSC=Y&amp;PAGE=booktext&amp;D=books&amp;AN=01382511$&amp;XPATH=/PG(0)","http://ovidsp.ovid.com/ovidweb.cgi?T=JS&amp;NEWS=n&amp;CSC=Y&amp;PAGE=booktext&amp;D=books&amp;AN=01382511$&amp;XPATH=/PG(0)")</f>
        <v>http://ovidsp.ovid.com/ovidweb.cgi?T=JS&amp;NEWS=n&amp;CSC=Y&amp;PAGE=booktext&amp;D=books&amp;AN=01382511$&amp;XPATH=/PG(0)</v>
      </c>
      <c r="G170" s="2" t="s">
        <v>17</v>
      </c>
    </row>
    <row r="171" spans="1:7" x14ac:dyDescent="0.15">
      <c r="A171" s="2" t="s">
        <v>528</v>
      </c>
      <c r="B171" s="2" t="s">
        <v>529</v>
      </c>
      <c r="C171" s="2" t="s">
        <v>530</v>
      </c>
      <c r="D171" s="2" t="s">
        <v>10</v>
      </c>
      <c r="E171" s="2" t="s">
        <v>16</v>
      </c>
      <c r="F171" s="3" t="str">
        <f>HYPERLINK("http://ovidsp.ovid.com/ovidweb.cgi?T=JS&amp;NEWS=n&amp;CSC=Y&amp;PAGE=booktext&amp;D=books&amp;AN=01382512$&amp;XPATH=/PG(0)","http://ovidsp.ovid.com/ovidweb.cgi?T=JS&amp;NEWS=n&amp;CSC=Y&amp;PAGE=booktext&amp;D=books&amp;AN=01382512$&amp;XPATH=/PG(0)")</f>
        <v>http://ovidsp.ovid.com/ovidweb.cgi?T=JS&amp;NEWS=n&amp;CSC=Y&amp;PAGE=booktext&amp;D=books&amp;AN=01382512$&amp;XPATH=/PG(0)</v>
      </c>
      <c r="G171" s="2" t="s">
        <v>17</v>
      </c>
    </row>
    <row r="172" spans="1:7" x14ac:dyDescent="0.15">
      <c r="A172" s="2" t="s">
        <v>531</v>
      </c>
      <c r="B172" s="2" t="s">
        <v>532</v>
      </c>
      <c r="C172" s="2" t="s">
        <v>533</v>
      </c>
      <c r="D172" s="2" t="s">
        <v>10</v>
      </c>
      <c r="E172" s="2" t="s">
        <v>16</v>
      </c>
      <c r="F172" s="3" t="str">
        <f>HYPERLINK("http://ovidsp.ovid.com/ovidweb.cgi?T=JS&amp;NEWS=n&amp;CSC=Y&amp;PAGE=booktext&amp;D=books&amp;AN=01382514$&amp;XPATH=/PG(0)","http://ovidsp.ovid.com/ovidweb.cgi?T=JS&amp;NEWS=n&amp;CSC=Y&amp;PAGE=booktext&amp;D=books&amp;AN=01382514$&amp;XPATH=/PG(0)")</f>
        <v>http://ovidsp.ovid.com/ovidweb.cgi?T=JS&amp;NEWS=n&amp;CSC=Y&amp;PAGE=booktext&amp;D=books&amp;AN=01382514$&amp;XPATH=/PG(0)</v>
      </c>
      <c r="G172" s="2" t="s">
        <v>17</v>
      </c>
    </row>
    <row r="173" spans="1:7" x14ac:dyDescent="0.15">
      <c r="A173" s="2" t="s">
        <v>534</v>
      </c>
      <c r="B173" s="2" t="s">
        <v>535</v>
      </c>
      <c r="C173" s="2" t="s">
        <v>536</v>
      </c>
      <c r="D173" s="2" t="s">
        <v>10</v>
      </c>
      <c r="E173" s="2" t="s">
        <v>16</v>
      </c>
      <c r="F173" s="3" t="str">
        <f>HYPERLINK("http://ovidsp.ovid.com/ovidweb.cgi?T=JS&amp;NEWS=n&amp;CSC=Y&amp;PAGE=booktext&amp;D=books&amp;AN=01382515$&amp;XPATH=/PG(0)","http://ovidsp.ovid.com/ovidweb.cgi?T=JS&amp;NEWS=n&amp;CSC=Y&amp;PAGE=booktext&amp;D=books&amp;AN=01382515$&amp;XPATH=/PG(0)")</f>
        <v>http://ovidsp.ovid.com/ovidweb.cgi?T=JS&amp;NEWS=n&amp;CSC=Y&amp;PAGE=booktext&amp;D=books&amp;AN=01382515$&amp;XPATH=/PG(0)</v>
      </c>
      <c r="G173" s="2" t="s">
        <v>17</v>
      </c>
    </row>
    <row r="174" spans="1:7" x14ac:dyDescent="0.15">
      <c r="A174" s="2" t="s">
        <v>537</v>
      </c>
      <c r="B174" s="2" t="s">
        <v>538</v>
      </c>
      <c r="C174" s="2" t="s">
        <v>539</v>
      </c>
      <c r="D174" s="2" t="s">
        <v>10</v>
      </c>
      <c r="E174" s="2" t="s">
        <v>16</v>
      </c>
      <c r="F174" s="3" t="str">
        <f>HYPERLINK("http://ovidsp.ovid.com/ovidweb.cgi?T=JS&amp;NEWS=n&amp;CSC=Y&amp;PAGE=booktext&amp;D=books&amp;AN=01337525$&amp;XPATH=/PG(0)","http://ovidsp.ovid.com/ovidweb.cgi?T=JS&amp;NEWS=n&amp;CSC=Y&amp;PAGE=booktext&amp;D=books&amp;AN=01337525$&amp;XPATH=/PG(0)")</f>
        <v>http://ovidsp.ovid.com/ovidweb.cgi?T=JS&amp;NEWS=n&amp;CSC=Y&amp;PAGE=booktext&amp;D=books&amp;AN=01337525$&amp;XPATH=/PG(0)</v>
      </c>
      <c r="G174" s="2" t="s">
        <v>17</v>
      </c>
    </row>
    <row r="175" spans="1:7" x14ac:dyDescent="0.15">
      <c r="A175" s="2" t="s">
        <v>540</v>
      </c>
      <c r="B175" s="2" t="s">
        <v>541</v>
      </c>
      <c r="C175" s="2" t="s">
        <v>542</v>
      </c>
      <c r="D175" s="2" t="s">
        <v>10</v>
      </c>
      <c r="E175" s="2" t="s">
        <v>49</v>
      </c>
      <c r="F175" s="3" t="str">
        <f>HYPERLINK("http://ovidsp.ovid.com/ovidweb.cgi?T=JS&amp;NEWS=n&amp;CSC=Y&amp;PAGE=booktext&amp;D=books&amp;AN=01222985$&amp;XPATH=/PG(0)","http://ovidsp.ovid.com/ovidweb.cgi?T=JS&amp;NEWS=n&amp;CSC=Y&amp;PAGE=booktext&amp;D=books&amp;AN=01222985$&amp;XPATH=/PG(0)")</f>
        <v>http://ovidsp.ovid.com/ovidweb.cgi?T=JS&amp;NEWS=n&amp;CSC=Y&amp;PAGE=booktext&amp;D=books&amp;AN=01222985$&amp;XPATH=/PG(0)</v>
      </c>
      <c r="G175" s="2" t="s">
        <v>17</v>
      </c>
    </row>
    <row r="176" spans="1:7" x14ac:dyDescent="0.15">
      <c r="A176" s="2" t="s">
        <v>543</v>
      </c>
      <c r="B176" s="2" t="s">
        <v>544</v>
      </c>
      <c r="C176" s="2" t="s">
        <v>545</v>
      </c>
      <c r="D176" s="2" t="s">
        <v>10</v>
      </c>
      <c r="E176" s="2" t="s">
        <v>49</v>
      </c>
      <c r="F176" s="3" t="str">
        <f>HYPERLINK("http://ovidsp.ovid.com/ovidweb.cgi?T=JS&amp;NEWS=n&amp;CSC=Y&amp;PAGE=booktext&amp;D=books&amp;AN=01256999$&amp;XPATH=/PG(0)","http://ovidsp.ovid.com/ovidweb.cgi?T=JS&amp;NEWS=n&amp;CSC=Y&amp;PAGE=booktext&amp;D=books&amp;AN=01256999$&amp;XPATH=/PG(0)")</f>
        <v>http://ovidsp.ovid.com/ovidweb.cgi?T=JS&amp;NEWS=n&amp;CSC=Y&amp;PAGE=booktext&amp;D=books&amp;AN=01256999$&amp;XPATH=/PG(0)</v>
      </c>
      <c r="G176" s="2" t="s">
        <v>17</v>
      </c>
    </row>
    <row r="177" spans="1:7" x14ac:dyDescent="0.15">
      <c r="A177" s="2" t="s">
        <v>546</v>
      </c>
      <c r="B177" s="2" t="s">
        <v>547</v>
      </c>
      <c r="C177" s="2" t="s">
        <v>548</v>
      </c>
      <c r="D177" s="2" t="s">
        <v>10</v>
      </c>
      <c r="E177" s="2" t="s">
        <v>16</v>
      </c>
      <c r="F177" s="3" t="str">
        <f>HYPERLINK("http://ovidsp.ovid.com/ovidweb.cgi?T=JS&amp;NEWS=n&amp;CSC=Y&amp;PAGE=booktext&amp;D=books&amp;AN=01337672$&amp;XPATH=/PG(0)","http://ovidsp.ovid.com/ovidweb.cgi?T=JS&amp;NEWS=n&amp;CSC=Y&amp;PAGE=booktext&amp;D=books&amp;AN=01337672$&amp;XPATH=/PG(0)")</f>
        <v>http://ovidsp.ovid.com/ovidweb.cgi?T=JS&amp;NEWS=n&amp;CSC=Y&amp;PAGE=booktext&amp;D=books&amp;AN=01337672$&amp;XPATH=/PG(0)</v>
      </c>
      <c r="G177" s="2" t="s">
        <v>17</v>
      </c>
    </row>
    <row r="178" spans="1:7" x14ac:dyDescent="0.15">
      <c r="A178" s="2" t="s">
        <v>549</v>
      </c>
      <c r="B178" s="2" t="s">
        <v>550</v>
      </c>
      <c r="C178" s="2" t="s">
        <v>551</v>
      </c>
      <c r="D178" s="2" t="s">
        <v>10</v>
      </c>
      <c r="E178" s="2" t="s">
        <v>16</v>
      </c>
      <c r="F178" s="3" t="str">
        <f>HYPERLINK("http://ovidsp.ovid.com/ovidweb.cgi?T=JS&amp;NEWS=n&amp;CSC=Y&amp;PAGE=booktext&amp;D=books&amp;AN=01279725$&amp;XPATH=/PG(0)","http://ovidsp.ovid.com/ovidweb.cgi?T=JS&amp;NEWS=n&amp;CSC=Y&amp;PAGE=booktext&amp;D=books&amp;AN=01279725$&amp;XPATH=/PG(0)")</f>
        <v>http://ovidsp.ovid.com/ovidweb.cgi?T=JS&amp;NEWS=n&amp;CSC=Y&amp;PAGE=booktext&amp;D=books&amp;AN=01279725$&amp;XPATH=/PG(0)</v>
      </c>
      <c r="G178" s="2" t="s">
        <v>17</v>
      </c>
    </row>
    <row r="179" spans="1:7" x14ac:dyDescent="0.15">
      <c r="A179" s="2" t="s">
        <v>552</v>
      </c>
      <c r="B179" s="2" t="s">
        <v>553</v>
      </c>
      <c r="C179" s="2" t="s">
        <v>554</v>
      </c>
      <c r="D179" s="2" t="s">
        <v>10</v>
      </c>
      <c r="E179" s="2" t="s">
        <v>95</v>
      </c>
      <c r="F179" s="3" t="str">
        <f>HYPERLINK("http://ovidsp.ovid.com/ovidweb.cgi?T=JS&amp;NEWS=n&amp;CSC=Y&amp;PAGE=booktext&amp;D=books&amp;AN=01256962$&amp;XPATH=/PG(0)","http://ovidsp.ovid.com/ovidweb.cgi?T=JS&amp;NEWS=n&amp;CSC=Y&amp;PAGE=booktext&amp;D=books&amp;AN=01256962$&amp;XPATH=/PG(0)")</f>
        <v>http://ovidsp.ovid.com/ovidweb.cgi?T=JS&amp;NEWS=n&amp;CSC=Y&amp;PAGE=booktext&amp;D=books&amp;AN=01256962$&amp;XPATH=/PG(0)</v>
      </c>
      <c r="G179" s="2" t="s">
        <v>17</v>
      </c>
    </row>
    <row r="180" spans="1:7" x14ac:dyDescent="0.15">
      <c r="A180" s="2" t="s">
        <v>555</v>
      </c>
      <c r="B180" s="2" t="s">
        <v>556</v>
      </c>
      <c r="C180" s="2" t="s">
        <v>557</v>
      </c>
      <c r="D180" s="2" t="s">
        <v>10</v>
      </c>
      <c r="E180" s="2" t="s">
        <v>95</v>
      </c>
      <c r="F180" s="3" t="str">
        <f>HYPERLINK("http://ovidsp.ovid.com/ovidweb.cgi?T=JS&amp;NEWS=n&amp;CSC=Y&amp;PAGE=booktext&amp;D=books&amp;AN=01382884$&amp;XPATH=/PG(0)","http://ovidsp.ovid.com/ovidweb.cgi?T=JS&amp;NEWS=n&amp;CSC=Y&amp;PAGE=booktext&amp;D=books&amp;AN=01382884$&amp;XPATH=/PG(0)")</f>
        <v>http://ovidsp.ovid.com/ovidweb.cgi?T=JS&amp;NEWS=n&amp;CSC=Y&amp;PAGE=booktext&amp;D=books&amp;AN=01382884$&amp;XPATH=/PG(0)</v>
      </c>
      <c r="G180" s="2" t="s">
        <v>12</v>
      </c>
    </row>
    <row r="181" spans="1:7" x14ac:dyDescent="0.15">
      <c r="A181" s="2" t="s">
        <v>558</v>
      </c>
      <c r="B181" s="2" t="s">
        <v>559</v>
      </c>
      <c r="C181" s="2" t="s">
        <v>560</v>
      </c>
      <c r="D181" s="2" t="s">
        <v>10</v>
      </c>
      <c r="E181" s="2" t="s">
        <v>16</v>
      </c>
      <c r="F181" s="3" t="str">
        <f>HYPERLINK("http://ovidsp.ovid.com/ovidweb.cgi?T=JS&amp;NEWS=n&amp;CSC=Y&amp;PAGE=booktext&amp;D=books&amp;AN=01382517$&amp;XPATH=/PG(0)","http://ovidsp.ovid.com/ovidweb.cgi?T=JS&amp;NEWS=n&amp;CSC=Y&amp;PAGE=booktext&amp;D=books&amp;AN=01382517$&amp;XPATH=/PG(0)")</f>
        <v>http://ovidsp.ovid.com/ovidweb.cgi?T=JS&amp;NEWS=n&amp;CSC=Y&amp;PAGE=booktext&amp;D=books&amp;AN=01382517$&amp;XPATH=/PG(0)</v>
      </c>
      <c r="G181" s="2" t="s">
        <v>12</v>
      </c>
    </row>
    <row r="182" spans="1:7" x14ac:dyDescent="0.15">
      <c r="A182" s="2" t="s">
        <v>561</v>
      </c>
      <c r="B182" s="2" t="s">
        <v>562</v>
      </c>
      <c r="C182" s="2" t="s">
        <v>563</v>
      </c>
      <c r="D182" s="2" t="s">
        <v>10</v>
      </c>
      <c r="E182" s="2" t="s">
        <v>16</v>
      </c>
      <c r="F182" s="3" t="str">
        <f>HYPERLINK("http://ovidsp.ovid.com/ovidweb.cgi?T=JS&amp;NEWS=n&amp;CSC=Y&amp;PAGE=booktext&amp;D=books&amp;AN=01257038$&amp;XPATH=/PG(0)","http://ovidsp.ovid.com/ovidweb.cgi?T=JS&amp;NEWS=n&amp;CSC=Y&amp;PAGE=booktext&amp;D=books&amp;AN=01257038$&amp;XPATH=/PG(0)")</f>
        <v>http://ovidsp.ovid.com/ovidweb.cgi?T=JS&amp;NEWS=n&amp;CSC=Y&amp;PAGE=booktext&amp;D=books&amp;AN=01257038$&amp;XPATH=/PG(0)</v>
      </c>
      <c r="G182" s="2" t="s">
        <v>17</v>
      </c>
    </row>
    <row r="183" spans="1:7" x14ac:dyDescent="0.15">
      <c r="A183" s="2" t="s">
        <v>564</v>
      </c>
      <c r="B183" s="2" t="s">
        <v>565</v>
      </c>
      <c r="C183" s="2" t="s">
        <v>566</v>
      </c>
      <c r="D183" s="2" t="s">
        <v>10</v>
      </c>
      <c r="E183" s="2" t="s">
        <v>16</v>
      </c>
      <c r="F183" s="3" t="str">
        <f>HYPERLINK("http://ovidsp.ovid.com/ovidweb.cgi?T=JS&amp;NEWS=n&amp;CSC=Y&amp;PAGE=booktext&amp;D=books&amp;AN=01382637$&amp;XPATH=/PG(0)","http://ovidsp.ovid.com/ovidweb.cgi?T=JS&amp;NEWS=n&amp;CSC=Y&amp;PAGE=booktext&amp;D=books&amp;AN=01382637$&amp;XPATH=/PG(0)")</f>
        <v>http://ovidsp.ovid.com/ovidweb.cgi?T=JS&amp;NEWS=n&amp;CSC=Y&amp;PAGE=booktext&amp;D=books&amp;AN=01382637$&amp;XPATH=/PG(0)</v>
      </c>
      <c r="G183" s="2" t="s">
        <v>17</v>
      </c>
    </row>
    <row r="184" spans="1:7" x14ac:dyDescent="0.15">
      <c r="A184" s="2" t="s">
        <v>567</v>
      </c>
      <c r="B184" s="2" t="s">
        <v>568</v>
      </c>
      <c r="C184" s="2" t="s">
        <v>569</v>
      </c>
      <c r="D184" s="2" t="s">
        <v>10</v>
      </c>
      <c r="E184" s="2" t="s">
        <v>16</v>
      </c>
      <c r="F184" s="3" t="str">
        <f>HYPERLINK("http://ovidsp.ovid.com/ovidweb.cgi?T=JS&amp;NEWS=n&amp;CSC=Y&amp;PAGE=booktext&amp;D=books&amp;AN=01257039$&amp;XPATH=/PG(0)","http://ovidsp.ovid.com/ovidweb.cgi?T=JS&amp;NEWS=n&amp;CSC=Y&amp;PAGE=booktext&amp;D=books&amp;AN=01257039$&amp;XPATH=/PG(0)")</f>
        <v>http://ovidsp.ovid.com/ovidweb.cgi?T=JS&amp;NEWS=n&amp;CSC=Y&amp;PAGE=booktext&amp;D=books&amp;AN=01257039$&amp;XPATH=/PG(0)</v>
      </c>
      <c r="G184" s="2" t="s">
        <v>17</v>
      </c>
    </row>
    <row r="185" spans="1:7" x14ac:dyDescent="0.15">
      <c r="A185" s="2" t="s">
        <v>570</v>
      </c>
      <c r="B185" s="2" t="s">
        <v>571</v>
      </c>
      <c r="C185" s="2" t="s">
        <v>572</v>
      </c>
      <c r="D185" s="2" t="s">
        <v>10</v>
      </c>
      <c r="E185" s="2" t="s">
        <v>16</v>
      </c>
      <c r="F185" s="3" t="str">
        <f>HYPERLINK("http://ovidsp.ovid.com/ovidweb.cgi?T=JS&amp;NEWS=n&amp;CSC=Y&amp;PAGE=booktext&amp;D=books&amp;AN=01382893$&amp;XPATH=/PG(0)","http://ovidsp.ovid.com/ovidweb.cgi?T=JS&amp;NEWS=n&amp;CSC=Y&amp;PAGE=booktext&amp;D=books&amp;AN=01382893$&amp;XPATH=/PG(0)")</f>
        <v>http://ovidsp.ovid.com/ovidweb.cgi?T=JS&amp;NEWS=n&amp;CSC=Y&amp;PAGE=booktext&amp;D=books&amp;AN=01382893$&amp;XPATH=/PG(0)</v>
      </c>
      <c r="G185" s="2" t="s">
        <v>12</v>
      </c>
    </row>
    <row r="186" spans="1:7" x14ac:dyDescent="0.15">
      <c r="A186" s="2" t="s">
        <v>573</v>
      </c>
      <c r="B186" s="2" t="s">
        <v>574</v>
      </c>
      <c r="C186" s="2" t="s">
        <v>575</v>
      </c>
      <c r="D186" s="2" t="s">
        <v>10</v>
      </c>
      <c r="E186" s="2" t="s">
        <v>95</v>
      </c>
      <c r="F186" s="3" t="str">
        <f>HYPERLINK("http://ovidsp.ovid.com/ovidweb.cgi?T=JS&amp;NEWS=n&amp;CSC=Y&amp;PAGE=booktext&amp;D=books&amp;AN=01382477$&amp;XPATH=/PG(0)","http://ovidsp.ovid.com/ovidweb.cgi?T=JS&amp;NEWS=n&amp;CSC=Y&amp;PAGE=booktext&amp;D=books&amp;AN=01382477$&amp;XPATH=/PG(0)")</f>
        <v>http://ovidsp.ovid.com/ovidweb.cgi?T=JS&amp;NEWS=n&amp;CSC=Y&amp;PAGE=booktext&amp;D=books&amp;AN=01382477$&amp;XPATH=/PG(0)</v>
      </c>
      <c r="G186" s="2" t="s">
        <v>17</v>
      </c>
    </row>
    <row r="187" spans="1:7" x14ac:dyDescent="0.15">
      <c r="A187" s="2" t="s">
        <v>576</v>
      </c>
      <c r="B187" s="2" t="s">
        <v>577</v>
      </c>
      <c r="C187" s="2" t="s">
        <v>578</v>
      </c>
      <c r="D187" s="2" t="s">
        <v>10</v>
      </c>
      <c r="E187" s="2" t="s">
        <v>16</v>
      </c>
      <c r="F187" s="3" t="str">
        <f>HYPERLINK("http://ovidsp.ovid.com/ovidweb.cgi?T=JS&amp;NEWS=n&amp;CSC=Y&amp;PAGE=booktext&amp;D=books&amp;AN=01382723$&amp;XPATH=/PG(0)","http://ovidsp.ovid.com/ovidweb.cgi?T=JS&amp;NEWS=n&amp;CSC=Y&amp;PAGE=booktext&amp;D=books&amp;AN=01382723$&amp;XPATH=/PG(0)")</f>
        <v>http://ovidsp.ovid.com/ovidweb.cgi?T=JS&amp;NEWS=n&amp;CSC=Y&amp;PAGE=booktext&amp;D=books&amp;AN=01382723$&amp;XPATH=/PG(0)</v>
      </c>
      <c r="G187" s="2" t="s">
        <v>12</v>
      </c>
    </row>
    <row r="188" spans="1:7" x14ac:dyDescent="0.15">
      <c r="A188" s="2" t="s">
        <v>579</v>
      </c>
      <c r="B188" s="2" t="s">
        <v>580</v>
      </c>
      <c r="C188" s="2" t="s">
        <v>581</v>
      </c>
      <c r="D188" s="2" t="s">
        <v>10</v>
      </c>
      <c r="E188" s="2" t="s">
        <v>45</v>
      </c>
      <c r="F188" s="3" t="str">
        <f>HYPERLINK("http://ovidsp.ovid.com/ovidweb.cgi?T=JS&amp;NEWS=n&amp;CSC=Y&amp;PAGE=booktext&amp;D=books&amp;AN=01382751$&amp;XPATH=/PG(0)","http://ovidsp.ovid.com/ovidweb.cgi?T=JS&amp;NEWS=n&amp;CSC=Y&amp;PAGE=booktext&amp;D=books&amp;AN=01382751$&amp;XPATH=/PG(0)")</f>
        <v>http://ovidsp.ovid.com/ovidweb.cgi?T=JS&amp;NEWS=n&amp;CSC=Y&amp;PAGE=booktext&amp;D=books&amp;AN=01382751$&amp;XPATH=/PG(0)</v>
      </c>
      <c r="G188" s="2" t="s">
        <v>12</v>
      </c>
    </row>
    <row r="189" spans="1:7" x14ac:dyDescent="0.15">
      <c r="A189" s="2" t="s">
        <v>582</v>
      </c>
      <c r="B189" s="2" t="s">
        <v>583</v>
      </c>
      <c r="C189" s="2" t="s">
        <v>584</v>
      </c>
      <c r="D189" s="2" t="s">
        <v>10</v>
      </c>
      <c r="E189" s="2" t="s">
        <v>16</v>
      </c>
      <c r="F189" s="3" t="str">
        <f>HYPERLINK("http://ovidsp.ovid.com/ovidweb.cgi?T=JS&amp;NEWS=n&amp;CSC=Y&amp;PAGE=booktext&amp;D=books&amp;AN=00139893$&amp;XPATH=/PG(0)","http://ovidsp.ovid.com/ovidweb.cgi?T=JS&amp;NEWS=n&amp;CSC=Y&amp;PAGE=booktext&amp;D=books&amp;AN=00139893$&amp;XPATH=/PG(0)")</f>
        <v>http://ovidsp.ovid.com/ovidweb.cgi?T=JS&amp;NEWS=n&amp;CSC=Y&amp;PAGE=booktext&amp;D=books&amp;AN=00139893$&amp;XPATH=/PG(0)</v>
      </c>
      <c r="G189" s="2" t="s">
        <v>12</v>
      </c>
    </row>
    <row r="190" spans="1:7" x14ac:dyDescent="0.15">
      <c r="A190" s="2" t="s">
        <v>585</v>
      </c>
      <c r="B190" s="2" t="s">
        <v>586</v>
      </c>
      <c r="C190" s="2" t="s">
        <v>587</v>
      </c>
      <c r="D190" s="2" t="s">
        <v>10</v>
      </c>
      <c r="E190" s="2" t="s">
        <v>45</v>
      </c>
      <c r="F190" s="3" t="str">
        <f>HYPERLINK("http://ovidsp.ovid.com/ovidweb.cgi?T=JS&amp;NEWS=n&amp;CSC=Y&amp;PAGE=booktext&amp;D=books&amp;AN=01273055$&amp;XPATH=/PG(0)","http://ovidsp.ovid.com/ovidweb.cgi?T=JS&amp;NEWS=n&amp;CSC=Y&amp;PAGE=booktext&amp;D=books&amp;AN=01273055$&amp;XPATH=/PG(0)")</f>
        <v>http://ovidsp.ovid.com/ovidweb.cgi?T=JS&amp;NEWS=n&amp;CSC=Y&amp;PAGE=booktext&amp;D=books&amp;AN=01273055$&amp;XPATH=/PG(0)</v>
      </c>
      <c r="G190" s="2" t="s">
        <v>17</v>
      </c>
    </row>
    <row r="191" spans="1:7" x14ac:dyDescent="0.15">
      <c r="A191" s="2" t="s">
        <v>588</v>
      </c>
      <c r="B191" s="2" t="s">
        <v>589</v>
      </c>
      <c r="C191" s="2" t="s">
        <v>590</v>
      </c>
      <c r="D191" s="2" t="s">
        <v>10</v>
      </c>
      <c r="E191" s="2" t="s">
        <v>16</v>
      </c>
      <c r="F191" s="3" t="str">
        <f>HYPERLINK("http://ovidsp.ovid.com/ovidweb.cgi?T=JS&amp;NEWS=n&amp;CSC=Y&amp;PAGE=booktext&amp;D=books&amp;AN=01337646$&amp;XPATH=/PG(0)","http://ovidsp.ovid.com/ovidweb.cgi?T=JS&amp;NEWS=n&amp;CSC=Y&amp;PAGE=booktext&amp;D=books&amp;AN=01337646$&amp;XPATH=/PG(0)")</f>
        <v>http://ovidsp.ovid.com/ovidweb.cgi?T=JS&amp;NEWS=n&amp;CSC=Y&amp;PAGE=booktext&amp;D=books&amp;AN=01337646$&amp;XPATH=/PG(0)</v>
      </c>
      <c r="G191" s="2" t="s">
        <v>17</v>
      </c>
    </row>
    <row r="192" spans="1:7" x14ac:dyDescent="0.15">
      <c r="A192" s="2" t="s">
        <v>591</v>
      </c>
      <c r="B192" s="2" t="s">
        <v>592</v>
      </c>
      <c r="C192" s="2" t="s">
        <v>593</v>
      </c>
      <c r="D192" s="2" t="s">
        <v>10</v>
      </c>
      <c r="E192" s="2" t="s">
        <v>16</v>
      </c>
      <c r="F192" s="3" t="str">
        <f>HYPERLINK("http://ovidsp.ovid.com/ovidweb.cgi?T=JS&amp;NEWS=n&amp;CSC=Y&amp;PAGE=booktext&amp;D=books&amp;AN=01337948$&amp;XPATH=/PG(0)","http://ovidsp.ovid.com/ovidweb.cgi?T=JS&amp;NEWS=n&amp;CSC=Y&amp;PAGE=booktext&amp;D=books&amp;AN=01337948$&amp;XPATH=/PG(0)")</f>
        <v>http://ovidsp.ovid.com/ovidweb.cgi?T=JS&amp;NEWS=n&amp;CSC=Y&amp;PAGE=booktext&amp;D=books&amp;AN=01337948$&amp;XPATH=/PG(0)</v>
      </c>
      <c r="G192" s="2" t="s">
        <v>17</v>
      </c>
    </row>
    <row r="193" spans="1:7" x14ac:dyDescent="0.15">
      <c r="A193" s="2" t="s">
        <v>594</v>
      </c>
      <c r="B193" s="2" t="s">
        <v>595</v>
      </c>
      <c r="C193" s="2" t="s">
        <v>596</v>
      </c>
      <c r="D193" s="2" t="s">
        <v>10</v>
      </c>
      <c r="E193" s="2" t="s">
        <v>45</v>
      </c>
      <c r="F193" s="3" t="str">
        <f>HYPERLINK("http://ovidsp.ovid.com/ovidweb.cgi?T=JS&amp;NEWS=n&amp;CSC=Y&amp;PAGE=booktext&amp;D=books&amp;AN=01257002$&amp;XPATH=/PG(0)","http://ovidsp.ovid.com/ovidweb.cgi?T=JS&amp;NEWS=n&amp;CSC=Y&amp;PAGE=booktext&amp;D=books&amp;AN=01257002$&amp;XPATH=/PG(0)")</f>
        <v>http://ovidsp.ovid.com/ovidweb.cgi?T=JS&amp;NEWS=n&amp;CSC=Y&amp;PAGE=booktext&amp;D=books&amp;AN=01257002$&amp;XPATH=/PG(0)</v>
      </c>
      <c r="G193" s="2" t="s">
        <v>17</v>
      </c>
    </row>
    <row r="194" spans="1:7" x14ac:dyDescent="0.15">
      <c r="A194" s="2" t="s">
        <v>597</v>
      </c>
      <c r="B194" s="2" t="s">
        <v>598</v>
      </c>
      <c r="C194" s="2" t="s">
        <v>599</v>
      </c>
      <c r="D194" s="2" t="s">
        <v>10</v>
      </c>
      <c r="E194" s="2" t="s">
        <v>16</v>
      </c>
      <c r="F194" s="3" t="str">
        <f>HYPERLINK("http://ovidsp.ovid.com/ovidweb.cgi?T=JS&amp;NEWS=n&amp;CSC=Y&amp;PAGE=booktext&amp;D=books&amp;AN=01279736$&amp;XPATH=/PG(0)","http://ovidsp.ovid.com/ovidweb.cgi?T=JS&amp;NEWS=n&amp;CSC=Y&amp;PAGE=booktext&amp;D=books&amp;AN=01279736$&amp;XPATH=/PG(0)")</f>
        <v>http://ovidsp.ovid.com/ovidweb.cgi?T=JS&amp;NEWS=n&amp;CSC=Y&amp;PAGE=booktext&amp;D=books&amp;AN=01279736$&amp;XPATH=/PG(0)</v>
      </c>
      <c r="G194" s="2" t="s">
        <v>17</v>
      </c>
    </row>
    <row r="195" spans="1:7" x14ac:dyDescent="0.15">
      <c r="A195" s="2" t="s">
        <v>600</v>
      </c>
      <c r="B195" s="2" t="s">
        <v>601</v>
      </c>
      <c r="C195" s="2" t="s">
        <v>602</v>
      </c>
      <c r="D195" s="2" t="s">
        <v>10</v>
      </c>
      <c r="E195" s="2" t="s">
        <v>95</v>
      </c>
      <c r="F195" s="3" t="str">
        <f>HYPERLINK("http://ovidsp.ovid.com/ovidweb.cgi?T=JS&amp;NEWS=n&amp;CSC=Y&amp;PAGE=booktext&amp;D=books&amp;AN=01382518$&amp;XPATH=/PG(0)","http://ovidsp.ovid.com/ovidweb.cgi?T=JS&amp;NEWS=n&amp;CSC=Y&amp;PAGE=booktext&amp;D=books&amp;AN=01382518$&amp;XPATH=/PG(0)")</f>
        <v>http://ovidsp.ovid.com/ovidweb.cgi?T=JS&amp;NEWS=n&amp;CSC=Y&amp;PAGE=booktext&amp;D=books&amp;AN=01382518$&amp;XPATH=/PG(0)</v>
      </c>
      <c r="G195" s="2" t="s">
        <v>17</v>
      </c>
    </row>
    <row r="196" spans="1:7" x14ac:dyDescent="0.15">
      <c r="A196" s="2" t="s">
        <v>603</v>
      </c>
      <c r="B196" s="2" t="s">
        <v>604</v>
      </c>
      <c r="C196" s="2" t="s">
        <v>605</v>
      </c>
      <c r="D196" s="2" t="s">
        <v>10</v>
      </c>
      <c r="E196" s="2" t="s">
        <v>606</v>
      </c>
      <c r="F196" s="3" t="str">
        <f>HYPERLINK("http://ovidsp.ovid.com/ovidweb.cgi?T=JS&amp;NEWS=n&amp;CSC=Y&amp;PAGE=booktext&amp;D=books&amp;AN=01337156$&amp;XPATH=/PG(0)","http://ovidsp.ovid.com/ovidweb.cgi?T=JS&amp;NEWS=n&amp;CSC=Y&amp;PAGE=booktext&amp;D=books&amp;AN=01337156$&amp;XPATH=/PG(0)")</f>
        <v>http://ovidsp.ovid.com/ovidweb.cgi?T=JS&amp;NEWS=n&amp;CSC=Y&amp;PAGE=booktext&amp;D=books&amp;AN=01337156$&amp;XPATH=/PG(0)</v>
      </c>
      <c r="G196" s="2" t="s">
        <v>17</v>
      </c>
    </row>
    <row r="197" spans="1:7" x14ac:dyDescent="0.15">
      <c r="A197" s="2" t="s">
        <v>607</v>
      </c>
      <c r="B197" s="2" t="s">
        <v>608</v>
      </c>
      <c r="C197" s="2" t="s">
        <v>609</v>
      </c>
      <c r="D197" s="2" t="s">
        <v>10</v>
      </c>
      <c r="E197" s="2" t="s">
        <v>45</v>
      </c>
      <c r="F197" s="3" t="str">
        <f>HYPERLINK("http://ovidsp.ovid.com/ovidweb.cgi?T=JS&amp;NEWS=n&amp;CSC=Y&amp;PAGE=booktext&amp;D=books&amp;AN=01382519$&amp;XPATH=/PG(0)","http://ovidsp.ovid.com/ovidweb.cgi?T=JS&amp;NEWS=n&amp;CSC=Y&amp;PAGE=booktext&amp;D=books&amp;AN=01382519$&amp;XPATH=/PG(0)")</f>
        <v>http://ovidsp.ovid.com/ovidweb.cgi?T=JS&amp;NEWS=n&amp;CSC=Y&amp;PAGE=booktext&amp;D=books&amp;AN=01382519$&amp;XPATH=/PG(0)</v>
      </c>
      <c r="G197" s="2" t="s">
        <v>17</v>
      </c>
    </row>
    <row r="198" spans="1:7" x14ac:dyDescent="0.15">
      <c r="A198" s="2" t="s">
        <v>610</v>
      </c>
      <c r="B198" s="2" t="s">
        <v>611</v>
      </c>
      <c r="C198" s="2" t="s">
        <v>612</v>
      </c>
      <c r="D198" s="2" t="s">
        <v>10</v>
      </c>
      <c r="E198" s="2" t="s">
        <v>235</v>
      </c>
      <c r="F198" s="3" t="str">
        <f>HYPERLINK("http://ovidsp.ovid.com/ovidweb.cgi?T=JS&amp;NEWS=n&amp;CSC=Y&amp;PAGE=booktext&amp;D=books&amp;AN=01382478$&amp;XPATH=/PG(0)","http://ovidsp.ovid.com/ovidweb.cgi?T=JS&amp;NEWS=n&amp;CSC=Y&amp;PAGE=booktext&amp;D=books&amp;AN=01382478$&amp;XPATH=/PG(0)")</f>
        <v>http://ovidsp.ovid.com/ovidweb.cgi?T=JS&amp;NEWS=n&amp;CSC=Y&amp;PAGE=booktext&amp;D=books&amp;AN=01382478$&amp;XPATH=/PG(0)</v>
      </c>
      <c r="G198" s="2" t="s">
        <v>12</v>
      </c>
    </row>
    <row r="199" spans="1:7" x14ac:dyDescent="0.15">
      <c r="A199" s="2" t="s">
        <v>613</v>
      </c>
      <c r="B199" s="2" t="s">
        <v>614</v>
      </c>
      <c r="C199" s="2" t="s">
        <v>615</v>
      </c>
      <c r="D199" s="2" t="s">
        <v>10</v>
      </c>
      <c r="E199" s="2" t="s">
        <v>95</v>
      </c>
      <c r="F199" s="3" t="str">
        <f>HYPERLINK("http://ovidsp.ovid.com/ovidweb.cgi?T=JS&amp;NEWS=n&amp;CSC=Y&amp;PAGE=booktext&amp;D=books&amp;AN=01256963$&amp;XPATH=/PG(0)","http://ovidsp.ovid.com/ovidweb.cgi?T=JS&amp;NEWS=n&amp;CSC=Y&amp;PAGE=booktext&amp;D=books&amp;AN=01256963$&amp;XPATH=/PG(0)")</f>
        <v>http://ovidsp.ovid.com/ovidweb.cgi?T=JS&amp;NEWS=n&amp;CSC=Y&amp;PAGE=booktext&amp;D=books&amp;AN=01256963$&amp;XPATH=/PG(0)</v>
      </c>
      <c r="G199" s="2" t="s">
        <v>17</v>
      </c>
    </row>
    <row r="200" spans="1:7" x14ac:dyDescent="0.15">
      <c r="A200" s="2" t="s">
        <v>616</v>
      </c>
      <c r="B200" s="2" t="s">
        <v>617</v>
      </c>
      <c r="C200" s="2" t="s">
        <v>618</v>
      </c>
      <c r="D200" s="2" t="s">
        <v>10</v>
      </c>
      <c r="E200" s="2" t="s">
        <v>45</v>
      </c>
      <c r="F200" s="3" t="str">
        <f>HYPERLINK("http://ovidsp.ovid.com/ovidweb.cgi?T=JS&amp;NEWS=n&amp;CSC=Y&amp;PAGE=booktext&amp;D=books&amp;AN=01382444$&amp;XPATH=/PG(0)","http://ovidsp.ovid.com/ovidweb.cgi?T=JS&amp;NEWS=n&amp;CSC=Y&amp;PAGE=booktext&amp;D=books&amp;AN=01382444$&amp;XPATH=/PG(0)")</f>
        <v>http://ovidsp.ovid.com/ovidweb.cgi?T=JS&amp;NEWS=n&amp;CSC=Y&amp;PAGE=booktext&amp;D=books&amp;AN=01382444$&amp;XPATH=/PG(0)</v>
      </c>
      <c r="G200" s="2" t="s">
        <v>17</v>
      </c>
    </row>
    <row r="201" spans="1:7" x14ac:dyDescent="0.15">
      <c r="A201" s="2" t="s">
        <v>619</v>
      </c>
      <c r="B201" s="2" t="s">
        <v>620</v>
      </c>
      <c r="C201" s="2" t="s">
        <v>621</v>
      </c>
      <c r="D201" s="2" t="s">
        <v>10</v>
      </c>
      <c r="E201" s="2" t="s">
        <v>622</v>
      </c>
      <c r="F201" s="3" t="str">
        <f>HYPERLINK("http://ovidsp.ovid.com/ovidweb.cgi?T=JS&amp;NEWS=n&amp;CSC=Y&amp;PAGE=booktext&amp;D=books&amp;AN=01337159$&amp;XPATH=/PG(0)","http://ovidsp.ovid.com/ovidweb.cgi?T=JS&amp;NEWS=n&amp;CSC=Y&amp;PAGE=booktext&amp;D=books&amp;AN=01337159$&amp;XPATH=/PG(0)")</f>
        <v>http://ovidsp.ovid.com/ovidweb.cgi?T=JS&amp;NEWS=n&amp;CSC=Y&amp;PAGE=booktext&amp;D=books&amp;AN=01337159$&amp;XPATH=/PG(0)</v>
      </c>
      <c r="G201" s="2" t="s">
        <v>17</v>
      </c>
    </row>
    <row r="202" spans="1:7" x14ac:dyDescent="0.15">
      <c r="A202" s="2" t="s">
        <v>623</v>
      </c>
      <c r="B202" s="2" t="s">
        <v>624</v>
      </c>
      <c r="C202" s="2" t="s">
        <v>625</v>
      </c>
      <c r="D202" s="2" t="s">
        <v>10</v>
      </c>
      <c r="E202" s="2" t="s">
        <v>16</v>
      </c>
      <c r="F202" s="3" t="str">
        <f>HYPERLINK("http://ovidsp.ovid.com/ovidweb.cgi?T=JS&amp;NEWS=n&amp;CSC=Y&amp;PAGE=booktext&amp;D=books&amp;AN=01382452$&amp;XPATH=/PG(0)","http://ovidsp.ovid.com/ovidweb.cgi?T=JS&amp;NEWS=n&amp;CSC=Y&amp;PAGE=booktext&amp;D=books&amp;AN=01382452$&amp;XPATH=/PG(0)")</f>
        <v>http://ovidsp.ovid.com/ovidweb.cgi?T=JS&amp;NEWS=n&amp;CSC=Y&amp;PAGE=booktext&amp;D=books&amp;AN=01382452$&amp;XPATH=/PG(0)</v>
      </c>
      <c r="G202" s="2" t="s">
        <v>17</v>
      </c>
    </row>
    <row r="203" spans="1:7" x14ac:dyDescent="0.15">
      <c r="A203" s="2" t="s">
        <v>626</v>
      </c>
      <c r="B203" s="2" t="s">
        <v>627</v>
      </c>
      <c r="C203" s="2" t="s">
        <v>628</v>
      </c>
      <c r="D203" s="2" t="s">
        <v>10</v>
      </c>
      <c r="E203" s="2" t="s">
        <v>16</v>
      </c>
      <c r="F203" s="3" t="str">
        <f>HYPERLINK("http://ovidsp.ovid.com/ovidweb.cgi?T=JS&amp;NEWS=n&amp;CSC=Y&amp;PAGE=booktext&amp;D=books&amp;AN=01257004$&amp;XPATH=/PG(0)","http://ovidsp.ovid.com/ovidweb.cgi?T=JS&amp;NEWS=n&amp;CSC=Y&amp;PAGE=booktext&amp;D=books&amp;AN=01257004$&amp;XPATH=/PG(0)")</f>
        <v>http://ovidsp.ovid.com/ovidweb.cgi?T=JS&amp;NEWS=n&amp;CSC=Y&amp;PAGE=booktext&amp;D=books&amp;AN=01257004$&amp;XPATH=/PG(0)</v>
      </c>
      <c r="G203" s="2" t="s">
        <v>17</v>
      </c>
    </row>
    <row r="204" spans="1:7" x14ac:dyDescent="0.15">
      <c r="A204" s="2" t="s">
        <v>629</v>
      </c>
      <c r="B204" s="2" t="s">
        <v>630</v>
      </c>
      <c r="C204" s="2" t="s">
        <v>631</v>
      </c>
      <c r="D204" s="2" t="s">
        <v>10</v>
      </c>
      <c r="E204" s="2" t="s">
        <v>95</v>
      </c>
      <c r="F204" s="3" t="str">
        <f>HYPERLINK("http://ovidsp.ovid.com/ovidweb.cgi?T=JS&amp;NEWS=n&amp;CSC=Y&amp;PAGE=booktext&amp;D=books&amp;AN=01382522$&amp;XPATH=/PG(0)","http://ovidsp.ovid.com/ovidweb.cgi?T=JS&amp;NEWS=n&amp;CSC=Y&amp;PAGE=booktext&amp;D=books&amp;AN=01382522$&amp;XPATH=/PG(0)")</f>
        <v>http://ovidsp.ovid.com/ovidweb.cgi?T=JS&amp;NEWS=n&amp;CSC=Y&amp;PAGE=booktext&amp;D=books&amp;AN=01382522$&amp;XPATH=/PG(0)</v>
      </c>
      <c r="G204" s="2" t="s">
        <v>17</v>
      </c>
    </row>
    <row r="205" spans="1:7" x14ac:dyDescent="0.15">
      <c r="A205" s="2" t="s">
        <v>632</v>
      </c>
      <c r="B205" s="2" t="s">
        <v>633</v>
      </c>
      <c r="C205" s="2" t="s">
        <v>634</v>
      </c>
      <c r="D205" s="2" t="s">
        <v>10</v>
      </c>
      <c r="E205" s="2" t="s">
        <v>95</v>
      </c>
      <c r="F205" s="3" t="str">
        <f>HYPERLINK("http://ovidsp.ovid.com/ovidweb.cgi?T=JS&amp;NEWS=n&amp;CSC=Y&amp;PAGE=booktext&amp;D=books&amp;AN=01265116$&amp;XPATH=/PG(0)","http://ovidsp.ovid.com/ovidweb.cgi?T=JS&amp;NEWS=n&amp;CSC=Y&amp;PAGE=booktext&amp;D=books&amp;AN=01265116$&amp;XPATH=/PG(0)")</f>
        <v>http://ovidsp.ovid.com/ovidweb.cgi?T=JS&amp;NEWS=n&amp;CSC=Y&amp;PAGE=booktext&amp;D=books&amp;AN=01265116$&amp;XPATH=/PG(0)</v>
      </c>
      <c r="G205" s="2" t="s">
        <v>17</v>
      </c>
    </row>
    <row r="206" spans="1:7" x14ac:dyDescent="0.15">
      <c r="A206" s="2" t="s">
        <v>635</v>
      </c>
      <c r="B206" s="2" t="s">
        <v>636</v>
      </c>
      <c r="C206" s="2" t="s">
        <v>637</v>
      </c>
      <c r="D206" s="2" t="s">
        <v>10</v>
      </c>
      <c r="E206" s="2" t="s">
        <v>16</v>
      </c>
      <c r="F206" s="3" t="str">
        <f>HYPERLINK("http://ovidsp.ovid.com/ovidweb.cgi?T=JS&amp;NEWS=n&amp;CSC=Y&amp;PAGE=booktext&amp;D=books&amp;AN=01382796$&amp;XPATH=/PG(0)","http://ovidsp.ovid.com/ovidweb.cgi?T=JS&amp;NEWS=n&amp;CSC=Y&amp;PAGE=booktext&amp;D=books&amp;AN=01382796$&amp;XPATH=/PG(0)")</f>
        <v>http://ovidsp.ovid.com/ovidweb.cgi?T=JS&amp;NEWS=n&amp;CSC=Y&amp;PAGE=booktext&amp;D=books&amp;AN=01382796$&amp;XPATH=/PG(0)</v>
      </c>
      <c r="G206" s="2" t="s">
        <v>12</v>
      </c>
    </row>
    <row r="207" spans="1:7" x14ac:dyDescent="0.15">
      <c r="A207" s="2" t="s">
        <v>638</v>
      </c>
      <c r="B207" s="2" t="s">
        <v>639</v>
      </c>
      <c r="C207" s="2" t="s">
        <v>640</v>
      </c>
      <c r="D207" s="2" t="s">
        <v>10</v>
      </c>
      <c r="E207" s="2" t="s">
        <v>16</v>
      </c>
      <c r="F207" s="3" t="str">
        <f>HYPERLINK("http://ovidsp.ovid.com/ovidweb.cgi?T=JS&amp;NEWS=n&amp;CSC=Y&amp;PAGE=booktext&amp;D=books&amp;AN=01382753$&amp;XPATH=/PG(0)","http://ovidsp.ovid.com/ovidweb.cgi?T=JS&amp;NEWS=n&amp;CSC=Y&amp;PAGE=booktext&amp;D=books&amp;AN=01382753$&amp;XPATH=/PG(0)")</f>
        <v>http://ovidsp.ovid.com/ovidweb.cgi?T=JS&amp;NEWS=n&amp;CSC=Y&amp;PAGE=booktext&amp;D=books&amp;AN=01382753$&amp;XPATH=/PG(0)</v>
      </c>
      <c r="G207" s="2" t="s">
        <v>12</v>
      </c>
    </row>
    <row r="208" spans="1:7" x14ac:dyDescent="0.15">
      <c r="A208" s="2" t="s">
        <v>641</v>
      </c>
      <c r="B208" s="2" t="s">
        <v>642</v>
      </c>
      <c r="C208" s="2" t="s">
        <v>643</v>
      </c>
      <c r="D208" s="2" t="s">
        <v>10</v>
      </c>
      <c r="E208" s="2" t="s">
        <v>16</v>
      </c>
      <c r="F208" s="3" t="str">
        <f>HYPERLINK("http://ovidsp.ovid.com/ovidweb.cgi?T=JS&amp;NEWS=n&amp;CSC=Y&amp;PAGE=booktext&amp;D=books&amp;AN=01382523$&amp;XPATH=/PG(0)","http://ovidsp.ovid.com/ovidweb.cgi?T=JS&amp;NEWS=n&amp;CSC=Y&amp;PAGE=booktext&amp;D=books&amp;AN=01382523$&amp;XPATH=/PG(0)")</f>
        <v>http://ovidsp.ovid.com/ovidweb.cgi?T=JS&amp;NEWS=n&amp;CSC=Y&amp;PAGE=booktext&amp;D=books&amp;AN=01382523$&amp;XPATH=/PG(0)</v>
      </c>
      <c r="G208" s="2" t="s">
        <v>17</v>
      </c>
    </row>
    <row r="209" spans="1:7" x14ac:dyDescent="0.15">
      <c r="A209" s="2" t="s">
        <v>644</v>
      </c>
      <c r="B209" s="2" t="s">
        <v>645</v>
      </c>
      <c r="C209" s="2" t="s">
        <v>646</v>
      </c>
      <c r="D209" s="2" t="s">
        <v>10</v>
      </c>
      <c r="E209" s="2" t="s">
        <v>16</v>
      </c>
      <c r="F209" s="3" t="str">
        <f>HYPERLINK("http://ovidsp.ovid.com/ovidweb.cgi?T=JS&amp;NEWS=n&amp;CSC=Y&amp;PAGE=booktext&amp;D=books&amp;AN=01337301$&amp;XPATH=/PG(0)","http://ovidsp.ovid.com/ovidweb.cgi?T=JS&amp;NEWS=n&amp;CSC=Y&amp;PAGE=booktext&amp;D=books&amp;AN=01337301$&amp;XPATH=/PG(0)")</f>
        <v>http://ovidsp.ovid.com/ovidweb.cgi?T=JS&amp;NEWS=n&amp;CSC=Y&amp;PAGE=booktext&amp;D=books&amp;AN=01337301$&amp;XPATH=/PG(0)</v>
      </c>
      <c r="G209" s="2" t="s">
        <v>17</v>
      </c>
    </row>
    <row r="210" spans="1:7" x14ac:dyDescent="0.15">
      <c r="A210" s="2" t="s">
        <v>647</v>
      </c>
      <c r="B210" s="2" t="s">
        <v>648</v>
      </c>
      <c r="C210" s="2" t="s">
        <v>649</v>
      </c>
      <c r="D210" s="2" t="s">
        <v>10</v>
      </c>
      <c r="E210" s="2" t="s">
        <v>16</v>
      </c>
      <c r="F210" s="3" t="str">
        <f>HYPERLINK("http://ovidsp.ovid.com/ovidweb.cgi?T=JS&amp;NEWS=n&amp;CSC=Y&amp;PAGE=booktext&amp;D=books&amp;AN=01279737$&amp;XPATH=/PG(0)","http://ovidsp.ovid.com/ovidweb.cgi?T=JS&amp;NEWS=n&amp;CSC=Y&amp;PAGE=booktext&amp;D=books&amp;AN=01279737$&amp;XPATH=/PG(0)")</f>
        <v>http://ovidsp.ovid.com/ovidweb.cgi?T=JS&amp;NEWS=n&amp;CSC=Y&amp;PAGE=booktext&amp;D=books&amp;AN=01279737$&amp;XPATH=/PG(0)</v>
      </c>
      <c r="G210" s="2" t="s">
        <v>17</v>
      </c>
    </row>
    <row r="211" spans="1:7" x14ac:dyDescent="0.15">
      <c r="A211" s="2" t="s">
        <v>650</v>
      </c>
      <c r="B211" s="2" t="s">
        <v>651</v>
      </c>
      <c r="C211" s="2" t="s">
        <v>652</v>
      </c>
      <c r="D211" s="2" t="s">
        <v>10</v>
      </c>
      <c r="E211" s="2" t="s">
        <v>16</v>
      </c>
      <c r="F211" s="3" t="str">
        <f>HYPERLINK("http://ovidsp.ovid.com/ovidweb.cgi?T=JS&amp;NEWS=n&amp;CSC=Y&amp;PAGE=booktext&amp;D=books&amp;AN=01382769$&amp;XPATH=/PG(0)","http://ovidsp.ovid.com/ovidweb.cgi?T=JS&amp;NEWS=n&amp;CSC=Y&amp;PAGE=booktext&amp;D=books&amp;AN=01382769$&amp;XPATH=/PG(0)")</f>
        <v>http://ovidsp.ovid.com/ovidweb.cgi?T=JS&amp;NEWS=n&amp;CSC=Y&amp;PAGE=booktext&amp;D=books&amp;AN=01382769$&amp;XPATH=/PG(0)</v>
      </c>
      <c r="G211" s="2" t="s">
        <v>12</v>
      </c>
    </row>
    <row r="212" spans="1:7" x14ac:dyDescent="0.15">
      <c r="A212" s="2" t="s">
        <v>653</v>
      </c>
      <c r="B212" s="2" t="s">
        <v>654</v>
      </c>
      <c r="C212" s="2" t="s">
        <v>655</v>
      </c>
      <c r="D212" s="2" t="s">
        <v>10</v>
      </c>
      <c r="E212" s="2" t="s">
        <v>45</v>
      </c>
      <c r="F212" s="3" t="str">
        <f>HYPERLINK("http://ovidsp.ovid.com/ovidweb.cgi?T=JS&amp;NEWS=n&amp;CSC=Y&amp;PAGE=booktext&amp;D=books&amp;AN=01382728$&amp;XPATH=/PG(0)","http://ovidsp.ovid.com/ovidweb.cgi?T=JS&amp;NEWS=n&amp;CSC=Y&amp;PAGE=booktext&amp;D=books&amp;AN=01382728$&amp;XPATH=/PG(0)")</f>
        <v>http://ovidsp.ovid.com/ovidweb.cgi?T=JS&amp;NEWS=n&amp;CSC=Y&amp;PAGE=booktext&amp;D=books&amp;AN=01382728$&amp;XPATH=/PG(0)</v>
      </c>
      <c r="G212" s="2" t="s">
        <v>12</v>
      </c>
    </row>
    <row r="213" spans="1:7" x14ac:dyDescent="0.15">
      <c r="A213" s="2" t="s">
        <v>656</v>
      </c>
      <c r="B213" s="2" t="s">
        <v>657</v>
      </c>
      <c r="C213" s="2" t="s">
        <v>658</v>
      </c>
      <c r="D213" s="2" t="s">
        <v>10</v>
      </c>
      <c r="E213" s="2" t="s">
        <v>45</v>
      </c>
      <c r="F213" s="3" t="str">
        <f>HYPERLINK("http://ovidsp.ovid.com/ovidweb.cgi?T=JS&amp;NEWS=n&amp;CSC=Y&amp;PAGE=booktext&amp;D=books&amp;AN=01279738$&amp;XPATH=/PG(0)","http://ovidsp.ovid.com/ovidweb.cgi?T=JS&amp;NEWS=n&amp;CSC=Y&amp;PAGE=booktext&amp;D=books&amp;AN=01279738$&amp;XPATH=/PG(0)")</f>
        <v>http://ovidsp.ovid.com/ovidweb.cgi?T=JS&amp;NEWS=n&amp;CSC=Y&amp;PAGE=booktext&amp;D=books&amp;AN=01279738$&amp;XPATH=/PG(0)</v>
      </c>
      <c r="G213" s="2" t="s">
        <v>17</v>
      </c>
    </row>
    <row r="214" spans="1:7" x14ac:dyDescent="0.15">
      <c r="A214" s="2" t="s">
        <v>659</v>
      </c>
      <c r="B214" s="2" t="s">
        <v>660</v>
      </c>
      <c r="C214" s="2" t="s">
        <v>661</v>
      </c>
      <c r="D214" s="2" t="s">
        <v>10</v>
      </c>
      <c r="E214" s="2" t="s">
        <v>49</v>
      </c>
      <c r="F214" s="3" t="str">
        <f>HYPERLINK("http://ovidsp.ovid.com/ovidweb.cgi?T=JS&amp;NEWS=n&amp;CSC=Y&amp;PAGE=booktext&amp;D=books&amp;AN=01279700$&amp;XPATH=/PG(0)","http://ovidsp.ovid.com/ovidweb.cgi?T=JS&amp;NEWS=n&amp;CSC=Y&amp;PAGE=booktext&amp;D=books&amp;AN=01279700$&amp;XPATH=/PG(0)")</f>
        <v>http://ovidsp.ovid.com/ovidweb.cgi?T=JS&amp;NEWS=n&amp;CSC=Y&amp;PAGE=booktext&amp;D=books&amp;AN=01279700$&amp;XPATH=/PG(0)</v>
      </c>
      <c r="G214" s="2" t="s">
        <v>17</v>
      </c>
    </row>
    <row r="215" spans="1:7" x14ac:dyDescent="0.15">
      <c r="A215" s="2" t="s">
        <v>662</v>
      </c>
      <c r="B215" s="2" t="s">
        <v>663</v>
      </c>
      <c r="C215" s="2" t="s">
        <v>664</v>
      </c>
      <c r="D215" s="2" t="s">
        <v>10</v>
      </c>
      <c r="E215" s="2" t="s">
        <v>16</v>
      </c>
      <c r="F215" s="3" t="str">
        <f>HYPERLINK("http://ovidsp.ovid.com/ovidweb.cgi?T=JS&amp;NEWS=n&amp;CSC=Y&amp;PAGE=booktext&amp;D=books&amp;AN=01382526$&amp;XPATH=/PG(0)","http://ovidsp.ovid.com/ovidweb.cgi?T=JS&amp;NEWS=n&amp;CSC=Y&amp;PAGE=booktext&amp;D=books&amp;AN=01382526$&amp;XPATH=/PG(0)")</f>
        <v>http://ovidsp.ovid.com/ovidweb.cgi?T=JS&amp;NEWS=n&amp;CSC=Y&amp;PAGE=booktext&amp;D=books&amp;AN=01382526$&amp;XPATH=/PG(0)</v>
      </c>
      <c r="G215" s="2" t="s">
        <v>17</v>
      </c>
    </row>
    <row r="216" spans="1:7" x14ac:dyDescent="0.15">
      <c r="A216" s="2" t="s">
        <v>665</v>
      </c>
      <c r="B216" s="2" t="s">
        <v>666</v>
      </c>
      <c r="C216" s="2" t="s">
        <v>667</v>
      </c>
      <c r="D216" s="2" t="s">
        <v>10</v>
      </c>
      <c r="E216" s="2" t="s">
        <v>45</v>
      </c>
      <c r="F216" s="3" t="str">
        <f>HYPERLINK("http://ovidsp.ovid.com/ovidweb.cgi?T=JS&amp;NEWS=n&amp;CSC=Y&amp;PAGE=booktext&amp;D=books&amp;AN=01279701$&amp;XPATH=/PG(0)","http://ovidsp.ovid.com/ovidweb.cgi?T=JS&amp;NEWS=n&amp;CSC=Y&amp;PAGE=booktext&amp;D=books&amp;AN=01279701$&amp;XPATH=/PG(0)")</f>
        <v>http://ovidsp.ovid.com/ovidweb.cgi?T=JS&amp;NEWS=n&amp;CSC=Y&amp;PAGE=booktext&amp;D=books&amp;AN=01279701$&amp;XPATH=/PG(0)</v>
      </c>
      <c r="G216" s="2" t="s">
        <v>17</v>
      </c>
    </row>
    <row r="217" spans="1:7" x14ac:dyDescent="0.15">
      <c r="A217" s="2" t="s">
        <v>668</v>
      </c>
      <c r="B217" s="2" t="s">
        <v>669</v>
      </c>
      <c r="C217" s="2" t="s">
        <v>670</v>
      </c>
      <c r="D217" s="2" t="s">
        <v>10</v>
      </c>
      <c r="E217" s="2" t="s">
        <v>95</v>
      </c>
      <c r="F217" s="3" t="str">
        <f>HYPERLINK("http://ovidsp.ovid.com/ovidweb.cgi?T=JS&amp;NEWS=n&amp;CSC=Y&amp;PAGE=booktext&amp;D=books&amp;AN=00139906$&amp;XPATH=/PG(0)","http://ovidsp.ovid.com/ovidweb.cgi?T=JS&amp;NEWS=n&amp;CSC=Y&amp;PAGE=booktext&amp;D=books&amp;AN=00139906$&amp;XPATH=/PG(0)")</f>
        <v>http://ovidsp.ovid.com/ovidweb.cgi?T=JS&amp;NEWS=n&amp;CSC=Y&amp;PAGE=booktext&amp;D=books&amp;AN=00139906$&amp;XPATH=/PG(0)</v>
      </c>
      <c r="G217" s="2" t="s">
        <v>12</v>
      </c>
    </row>
    <row r="218" spans="1:7" x14ac:dyDescent="0.15">
      <c r="A218" s="2" t="s">
        <v>671</v>
      </c>
      <c r="B218" s="2" t="s">
        <v>672</v>
      </c>
      <c r="C218" s="2" t="s">
        <v>673</v>
      </c>
      <c r="D218" s="2" t="s">
        <v>10</v>
      </c>
      <c r="E218" s="2" t="s">
        <v>16</v>
      </c>
      <c r="F218" s="3" t="str">
        <f>HYPERLINK("http://ovidsp.ovid.com/ovidweb.cgi?T=JS&amp;NEWS=n&amp;CSC=Y&amp;PAGE=booktext&amp;D=books&amp;AN=01382527$&amp;XPATH=/PG(0)","http://ovidsp.ovid.com/ovidweb.cgi?T=JS&amp;NEWS=n&amp;CSC=Y&amp;PAGE=booktext&amp;D=books&amp;AN=01382527$&amp;XPATH=/PG(0)")</f>
        <v>http://ovidsp.ovid.com/ovidweb.cgi?T=JS&amp;NEWS=n&amp;CSC=Y&amp;PAGE=booktext&amp;D=books&amp;AN=01382527$&amp;XPATH=/PG(0)</v>
      </c>
      <c r="G218" s="2" t="s">
        <v>17</v>
      </c>
    </row>
    <row r="219" spans="1:7" x14ac:dyDescent="0.15">
      <c r="A219" s="2" t="s">
        <v>674</v>
      </c>
      <c r="B219" s="2" t="s">
        <v>675</v>
      </c>
      <c r="C219" s="2" t="s">
        <v>676</v>
      </c>
      <c r="D219" s="2" t="s">
        <v>10</v>
      </c>
      <c r="E219" s="2" t="s">
        <v>622</v>
      </c>
      <c r="F219" s="3" t="str">
        <f>HYPERLINK("http://ovidsp.ovid.com/ovidweb.cgi?T=JS&amp;NEWS=n&amp;CSC=Y&amp;PAGE=booktext&amp;D=books&amp;AN=00139907$&amp;XPATH=/PG(0)","http://ovidsp.ovid.com/ovidweb.cgi?T=JS&amp;NEWS=n&amp;CSC=Y&amp;PAGE=booktext&amp;D=books&amp;AN=00139907$&amp;XPATH=/PG(0)")</f>
        <v>http://ovidsp.ovid.com/ovidweb.cgi?T=JS&amp;NEWS=n&amp;CSC=Y&amp;PAGE=booktext&amp;D=books&amp;AN=00139907$&amp;XPATH=/PG(0)</v>
      </c>
      <c r="G219" s="2" t="s">
        <v>17</v>
      </c>
    </row>
    <row r="220" spans="1:7" x14ac:dyDescent="0.15">
      <c r="A220" s="2" t="s">
        <v>677</v>
      </c>
      <c r="B220" s="2" t="s">
        <v>678</v>
      </c>
      <c r="C220" s="2" t="s">
        <v>679</v>
      </c>
      <c r="D220" s="2" t="s">
        <v>10</v>
      </c>
      <c r="E220" s="2" t="s">
        <v>45</v>
      </c>
      <c r="F220" s="3" t="str">
        <f>HYPERLINK("http://ovidsp.ovid.com/ovidweb.cgi?T=JS&amp;NEWS=n&amp;CSC=Y&amp;PAGE=booktext&amp;D=books&amp;AN=01256964$&amp;XPATH=/PG(0)","http://ovidsp.ovid.com/ovidweb.cgi?T=JS&amp;NEWS=n&amp;CSC=Y&amp;PAGE=booktext&amp;D=books&amp;AN=01256964$&amp;XPATH=/PG(0)")</f>
        <v>http://ovidsp.ovid.com/ovidweb.cgi?T=JS&amp;NEWS=n&amp;CSC=Y&amp;PAGE=booktext&amp;D=books&amp;AN=01256964$&amp;XPATH=/PG(0)</v>
      </c>
      <c r="G220" s="2" t="s">
        <v>17</v>
      </c>
    </row>
    <row r="221" spans="1:7" x14ac:dyDescent="0.15">
      <c r="A221" s="2" t="s">
        <v>680</v>
      </c>
      <c r="B221" s="2" t="s">
        <v>681</v>
      </c>
      <c r="C221" s="2" t="s">
        <v>682</v>
      </c>
      <c r="D221" s="2" t="s">
        <v>10</v>
      </c>
      <c r="E221" s="2" t="s">
        <v>49</v>
      </c>
      <c r="F221" s="3" t="str">
        <f>HYPERLINK("http://ovidsp.ovid.com/ovidweb.cgi?T=JS&amp;NEWS=n&amp;CSC=Y&amp;PAGE=booktext&amp;D=books&amp;AN=01244636$&amp;XPATH=/PG(0)","http://ovidsp.ovid.com/ovidweb.cgi?T=JS&amp;NEWS=n&amp;CSC=Y&amp;PAGE=booktext&amp;D=books&amp;AN=01244636$&amp;XPATH=/PG(0)")</f>
        <v>http://ovidsp.ovid.com/ovidweb.cgi?T=JS&amp;NEWS=n&amp;CSC=Y&amp;PAGE=booktext&amp;D=books&amp;AN=01244636$&amp;XPATH=/PG(0)</v>
      </c>
      <c r="G221" s="2" t="s">
        <v>12</v>
      </c>
    </row>
    <row r="222" spans="1:7" x14ac:dyDescent="0.15">
      <c r="A222" s="2" t="s">
        <v>683</v>
      </c>
      <c r="B222" s="2" t="s">
        <v>684</v>
      </c>
      <c r="C222" s="2" t="s">
        <v>685</v>
      </c>
      <c r="D222" s="2" t="s">
        <v>10</v>
      </c>
      <c r="E222" s="2" t="s">
        <v>49</v>
      </c>
      <c r="F222" s="3" t="str">
        <f>HYPERLINK("http://ovidsp.ovid.com/ovidweb.cgi?T=JS&amp;NEWS=n&amp;CSC=Y&amp;PAGE=booktext&amp;D=books&amp;AN=01382528$&amp;XPATH=/PG(0)","http://ovidsp.ovid.com/ovidweb.cgi?T=JS&amp;NEWS=n&amp;CSC=Y&amp;PAGE=booktext&amp;D=books&amp;AN=01382528$&amp;XPATH=/PG(0)")</f>
        <v>http://ovidsp.ovid.com/ovidweb.cgi?T=JS&amp;NEWS=n&amp;CSC=Y&amp;PAGE=booktext&amp;D=books&amp;AN=01382528$&amp;XPATH=/PG(0)</v>
      </c>
      <c r="G222" s="2" t="s">
        <v>17</v>
      </c>
    </row>
    <row r="223" spans="1:7" x14ac:dyDescent="0.15">
      <c r="A223" s="2" t="s">
        <v>686</v>
      </c>
      <c r="B223" s="2" t="s">
        <v>687</v>
      </c>
      <c r="C223" s="2" t="s">
        <v>688</v>
      </c>
      <c r="D223" s="2" t="s">
        <v>10</v>
      </c>
      <c r="E223" s="2" t="s">
        <v>45</v>
      </c>
      <c r="F223" s="3" t="str">
        <f>HYPERLINK("http://ovidsp.ovid.com/ovidweb.cgi?T=JS&amp;NEWS=n&amp;CSC=Y&amp;PAGE=booktext&amp;D=books&amp;AN=01257005$&amp;XPATH=/PG(0)","http://ovidsp.ovid.com/ovidweb.cgi?T=JS&amp;NEWS=n&amp;CSC=Y&amp;PAGE=booktext&amp;D=books&amp;AN=01257005$&amp;XPATH=/PG(0)")</f>
        <v>http://ovidsp.ovid.com/ovidweb.cgi?T=JS&amp;NEWS=n&amp;CSC=Y&amp;PAGE=booktext&amp;D=books&amp;AN=01257005$&amp;XPATH=/PG(0)</v>
      </c>
      <c r="G223" s="2" t="s">
        <v>17</v>
      </c>
    </row>
    <row r="224" spans="1:7" x14ac:dyDescent="0.15">
      <c r="A224" s="2" t="s">
        <v>689</v>
      </c>
      <c r="B224" s="2" t="s">
        <v>690</v>
      </c>
      <c r="C224" s="2" t="s">
        <v>691</v>
      </c>
      <c r="D224" s="2" t="s">
        <v>10</v>
      </c>
      <c r="E224" s="2" t="s">
        <v>16</v>
      </c>
      <c r="F224" s="3" t="str">
        <f>HYPERLINK("http://ovidsp.ovid.com/ovidweb.cgi?T=JS&amp;NEWS=n&amp;CSC=Y&amp;PAGE=booktext&amp;D=books&amp;AN=01382863$&amp;XPATH=/PG(0)","http://ovidsp.ovid.com/ovidweb.cgi?T=JS&amp;NEWS=n&amp;CSC=Y&amp;PAGE=booktext&amp;D=books&amp;AN=01382863$&amp;XPATH=/PG(0)")</f>
        <v>http://ovidsp.ovid.com/ovidweb.cgi?T=JS&amp;NEWS=n&amp;CSC=Y&amp;PAGE=booktext&amp;D=books&amp;AN=01382863$&amp;XPATH=/PG(0)</v>
      </c>
      <c r="G224" s="2" t="s">
        <v>12</v>
      </c>
    </row>
    <row r="225" spans="1:7" x14ac:dyDescent="0.15">
      <c r="A225" s="2" t="s">
        <v>692</v>
      </c>
      <c r="B225" s="2" t="s">
        <v>693</v>
      </c>
      <c r="C225" s="2" t="s">
        <v>694</v>
      </c>
      <c r="D225" s="2" t="s">
        <v>10</v>
      </c>
      <c r="E225" s="2" t="s">
        <v>95</v>
      </c>
      <c r="F225" s="3" t="str">
        <f>HYPERLINK("http://ovidsp.ovid.com/ovidweb.cgi?T=JS&amp;NEWS=n&amp;CSC=Y&amp;PAGE=booktext&amp;D=books&amp;AN=01382872$&amp;XPATH=/PG(0)","http://ovidsp.ovid.com/ovidweb.cgi?T=JS&amp;NEWS=n&amp;CSC=Y&amp;PAGE=booktext&amp;D=books&amp;AN=01382872$&amp;XPATH=/PG(0)")</f>
        <v>http://ovidsp.ovid.com/ovidweb.cgi?T=JS&amp;NEWS=n&amp;CSC=Y&amp;PAGE=booktext&amp;D=books&amp;AN=01382872$&amp;XPATH=/PG(0)</v>
      </c>
      <c r="G225" s="2" t="s">
        <v>12</v>
      </c>
    </row>
    <row r="226" spans="1:7" x14ac:dyDescent="0.15">
      <c r="A226" s="2" t="s">
        <v>695</v>
      </c>
      <c r="B226" s="2" t="s">
        <v>696</v>
      </c>
      <c r="C226" s="2" t="s">
        <v>697</v>
      </c>
      <c r="D226" s="2" t="s">
        <v>10</v>
      </c>
      <c r="E226" s="2" t="s">
        <v>16</v>
      </c>
      <c r="F226" s="3" t="str">
        <f>HYPERLINK("http://ovidsp.ovid.com/ovidweb.cgi?T=JS&amp;NEWS=n&amp;CSC=Y&amp;PAGE=booktext&amp;D=books&amp;AN=01382785$&amp;XPATH=/PG(0)","http://ovidsp.ovid.com/ovidweb.cgi?T=JS&amp;NEWS=n&amp;CSC=Y&amp;PAGE=booktext&amp;D=books&amp;AN=01382785$&amp;XPATH=/PG(0)")</f>
        <v>http://ovidsp.ovid.com/ovidweb.cgi?T=JS&amp;NEWS=n&amp;CSC=Y&amp;PAGE=booktext&amp;D=books&amp;AN=01382785$&amp;XPATH=/PG(0)</v>
      </c>
      <c r="G226" s="2" t="s">
        <v>12</v>
      </c>
    </row>
    <row r="227" spans="1:7" x14ac:dyDescent="0.15">
      <c r="A227" s="2" t="s">
        <v>698</v>
      </c>
      <c r="B227" s="2" t="s">
        <v>699</v>
      </c>
      <c r="C227" s="2" t="s">
        <v>700</v>
      </c>
      <c r="D227" s="2" t="s">
        <v>10</v>
      </c>
      <c r="E227" s="2" t="s">
        <v>16</v>
      </c>
      <c r="F227" s="3" t="str">
        <f>HYPERLINK("http://ovidsp.ovid.com/ovidweb.cgi?T=JS&amp;NEWS=n&amp;CSC=Y&amp;PAGE=booktext&amp;D=books&amp;AN=01382736$&amp;XPATH=/PG(0)","http://ovidsp.ovid.com/ovidweb.cgi?T=JS&amp;NEWS=n&amp;CSC=Y&amp;PAGE=booktext&amp;D=books&amp;AN=01382736$&amp;XPATH=/PG(0)")</f>
        <v>http://ovidsp.ovid.com/ovidweb.cgi?T=JS&amp;NEWS=n&amp;CSC=Y&amp;PAGE=booktext&amp;D=books&amp;AN=01382736$&amp;XPATH=/PG(0)</v>
      </c>
      <c r="G227" s="2" t="s">
        <v>12</v>
      </c>
    </row>
    <row r="228" spans="1:7" x14ac:dyDescent="0.15">
      <c r="A228" s="2" t="s">
        <v>701</v>
      </c>
      <c r="B228" s="2" t="s">
        <v>702</v>
      </c>
      <c r="C228" s="2" t="s">
        <v>703</v>
      </c>
      <c r="D228" s="2" t="s">
        <v>10</v>
      </c>
      <c r="E228" s="2" t="s">
        <v>16</v>
      </c>
      <c r="F228" s="3" t="str">
        <f>HYPERLINK("http://ovidsp.ovid.com/ovidweb.cgi?T=JS&amp;NEWS=n&amp;CSC=Y&amp;PAGE=booktext&amp;D=books&amp;AN=01382850$&amp;XPATH=/PG(0)","http://ovidsp.ovid.com/ovidweb.cgi?T=JS&amp;NEWS=n&amp;CSC=Y&amp;PAGE=booktext&amp;D=books&amp;AN=01382850$&amp;XPATH=/PG(0)")</f>
        <v>http://ovidsp.ovid.com/ovidweb.cgi?T=JS&amp;NEWS=n&amp;CSC=Y&amp;PAGE=booktext&amp;D=books&amp;AN=01382850$&amp;XPATH=/PG(0)</v>
      </c>
      <c r="G228" s="2" t="s">
        <v>12</v>
      </c>
    </row>
    <row r="229" spans="1:7" x14ac:dyDescent="0.15">
      <c r="A229" s="2" t="s">
        <v>704</v>
      </c>
      <c r="B229" s="2" t="s">
        <v>705</v>
      </c>
      <c r="C229" s="2" t="s">
        <v>706</v>
      </c>
      <c r="D229" s="2" t="s">
        <v>10</v>
      </c>
      <c r="E229" s="2" t="s">
        <v>95</v>
      </c>
      <c r="F229" s="3" t="str">
        <f>HYPERLINK("http://ovidsp.ovid.com/ovidweb.cgi?T=JS&amp;NEWS=n&amp;CSC=Y&amp;PAGE=booktext&amp;D=books&amp;AN=01382529$&amp;XPATH=/PG(0)","http://ovidsp.ovid.com/ovidweb.cgi?T=JS&amp;NEWS=n&amp;CSC=Y&amp;PAGE=booktext&amp;D=books&amp;AN=01382529$&amp;XPATH=/PG(0)")</f>
        <v>http://ovidsp.ovid.com/ovidweb.cgi?T=JS&amp;NEWS=n&amp;CSC=Y&amp;PAGE=booktext&amp;D=books&amp;AN=01382529$&amp;XPATH=/PG(0)</v>
      </c>
      <c r="G229" s="2" t="s">
        <v>17</v>
      </c>
    </row>
    <row r="230" spans="1:7" x14ac:dyDescent="0.15">
      <c r="A230" s="2" t="s">
        <v>707</v>
      </c>
      <c r="B230" s="2" t="s">
        <v>708</v>
      </c>
      <c r="C230" s="2" t="s">
        <v>709</v>
      </c>
      <c r="D230" s="2" t="s">
        <v>10</v>
      </c>
      <c r="E230" s="2" t="s">
        <v>251</v>
      </c>
      <c r="F230" s="3" t="str">
        <f>HYPERLINK("http://ovidsp.ovid.com/ovidweb.cgi?T=JS&amp;NEWS=n&amp;CSC=Y&amp;PAGE=booktext&amp;D=books&amp;AN=00139912$&amp;XPATH=/PG(0)","http://ovidsp.ovid.com/ovidweb.cgi?T=JS&amp;NEWS=n&amp;CSC=Y&amp;PAGE=booktext&amp;D=books&amp;AN=00139912$&amp;XPATH=/PG(0)")</f>
        <v>http://ovidsp.ovid.com/ovidweb.cgi?T=JS&amp;NEWS=n&amp;CSC=Y&amp;PAGE=booktext&amp;D=books&amp;AN=00139912$&amp;XPATH=/PG(0)</v>
      </c>
      <c r="G230" s="2" t="s">
        <v>12</v>
      </c>
    </row>
    <row r="231" spans="1:7" x14ac:dyDescent="0.15">
      <c r="A231" s="2" t="s">
        <v>710</v>
      </c>
      <c r="B231" s="2" t="s">
        <v>711</v>
      </c>
      <c r="C231" s="2" t="s">
        <v>712</v>
      </c>
      <c r="D231" s="2" t="s">
        <v>10</v>
      </c>
      <c r="E231" s="2" t="s">
        <v>622</v>
      </c>
      <c r="F231" s="3" t="str">
        <f>HYPERLINK("http://ovidsp.ovid.com/ovidweb.cgi?T=JS&amp;NEWS=n&amp;CSC=Y&amp;PAGE=booktext&amp;D=books&amp;AN=01337158$&amp;XPATH=/PG(0)","http://ovidsp.ovid.com/ovidweb.cgi?T=JS&amp;NEWS=n&amp;CSC=Y&amp;PAGE=booktext&amp;D=books&amp;AN=01337158$&amp;XPATH=/PG(0)")</f>
        <v>http://ovidsp.ovid.com/ovidweb.cgi?T=JS&amp;NEWS=n&amp;CSC=Y&amp;PAGE=booktext&amp;D=books&amp;AN=01337158$&amp;XPATH=/PG(0)</v>
      </c>
      <c r="G231" s="2" t="s">
        <v>17</v>
      </c>
    </row>
    <row r="232" spans="1:7" x14ac:dyDescent="0.15">
      <c r="A232" s="2" t="s">
        <v>713</v>
      </c>
      <c r="B232" s="2" t="s">
        <v>714</v>
      </c>
      <c r="C232" s="2" t="s">
        <v>715</v>
      </c>
      <c r="D232" s="2" t="s">
        <v>10</v>
      </c>
      <c r="E232" s="2" t="s">
        <v>32</v>
      </c>
      <c r="F232" s="3" t="str">
        <f>HYPERLINK("http://ovidsp.ovid.com/ovidweb.cgi?T=JS&amp;NEWS=n&amp;CSC=Y&amp;PAGE=booktext&amp;D=books&amp;AN=01434428$&amp;XPATH=/PG(0)","http://ovidsp.ovid.com/ovidweb.cgi?T=JS&amp;NEWS=n&amp;CSC=Y&amp;PAGE=booktext&amp;D=books&amp;AN=01434428$&amp;XPATH=/PG(0)")</f>
        <v>http://ovidsp.ovid.com/ovidweb.cgi?T=JS&amp;NEWS=n&amp;CSC=Y&amp;PAGE=booktext&amp;D=books&amp;AN=01434428$&amp;XPATH=/PG(0)</v>
      </c>
      <c r="G232" s="2" t="s">
        <v>17</v>
      </c>
    </row>
    <row r="233" spans="1:7" x14ac:dyDescent="0.15">
      <c r="A233" s="2" t="s">
        <v>716</v>
      </c>
      <c r="B233" s="2" t="s">
        <v>717</v>
      </c>
      <c r="C233" s="2" t="s">
        <v>718</v>
      </c>
      <c r="D233" s="2" t="s">
        <v>10</v>
      </c>
      <c r="E233" s="2" t="s">
        <v>251</v>
      </c>
      <c r="F233" s="3" t="str">
        <f>HYPERLINK("http://ovidsp.ovid.com/ovidweb.cgi?T=JS&amp;NEWS=n&amp;CSC=Y&amp;PAGE=booktext&amp;D=books&amp;AN=01257006$&amp;XPATH=/PG(0)","http://ovidsp.ovid.com/ovidweb.cgi?T=JS&amp;NEWS=n&amp;CSC=Y&amp;PAGE=booktext&amp;D=books&amp;AN=01257006$&amp;XPATH=/PG(0)")</f>
        <v>http://ovidsp.ovid.com/ovidweb.cgi?T=JS&amp;NEWS=n&amp;CSC=Y&amp;PAGE=booktext&amp;D=books&amp;AN=01257006$&amp;XPATH=/PG(0)</v>
      </c>
      <c r="G233" s="2" t="s">
        <v>17</v>
      </c>
    </row>
    <row r="234" spans="1:7" x14ac:dyDescent="0.15">
      <c r="A234" s="2" t="s">
        <v>719</v>
      </c>
      <c r="B234" s="2" t="s">
        <v>720</v>
      </c>
      <c r="C234" s="2" t="s">
        <v>721</v>
      </c>
      <c r="D234" s="2" t="s">
        <v>10</v>
      </c>
      <c r="E234" s="2" t="s">
        <v>95</v>
      </c>
      <c r="F234" s="3" t="str">
        <f>HYPERLINK("http://ovidsp.ovid.com/ovidweb.cgi?T=JS&amp;NEWS=n&amp;CSC=Y&amp;PAGE=booktext&amp;D=books&amp;AN=01222987$&amp;XPATH=/PG(0)","http://ovidsp.ovid.com/ovidweb.cgi?T=JS&amp;NEWS=n&amp;CSC=Y&amp;PAGE=booktext&amp;D=books&amp;AN=01222987$&amp;XPATH=/PG(0)")</f>
        <v>http://ovidsp.ovid.com/ovidweb.cgi?T=JS&amp;NEWS=n&amp;CSC=Y&amp;PAGE=booktext&amp;D=books&amp;AN=01222987$&amp;XPATH=/PG(0)</v>
      </c>
      <c r="G234" s="2" t="s">
        <v>17</v>
      </c>
    </row>
    <row r="235" spans="1:7" x14ac:dyDescent="0.15">
      <c r="A235" s="2" t="s">
        <v>722</v>
      </c>
      <c r="B235" s="2" t="s">
        <v>723</v>
      </c>
      <c r="C235" s="2" t="s">
        <v>724</v>
      </c>
      <c r="D235" s="2" t="s">
        <v>10</v>
      </c>
      <c r="E235" s="2" t="s">
        <v>49</v>
      </c>
      <c r="F235" s="3" t="str">
        <f>HYPERLINK("http://ovidsp.ovid.com/ovidweb.cgi?T=JS&amp;NEWS=n&amp;CSC=Y&amp;PAGE=booktext&amp;D=books&amp;AN=01382530$&amp;XPATH=/PG(0)","http://ovidsp.ovid.com/ovidweb.cgi?T=JS&amp;NEWS=n&amp;CSC=Y&amp;PAGE=booktext&amp;D=books&amp;AN=01382530$&amp;XPATH=/PG(0)")</f>
        <v>http://ovidsp.ovid.com/ovidweb.cgi?T=JS&amp;NEWS=n&amp;CSC=Y&amp;PAGE=booktext&amp;D=books&amp;AN=01382530$&amp;XPATH=/PG(0)</v>
      </c>
      <c r="G235" s="2" t="s">
        <v>17</v>
      </c>
    </row>
    <row r="236" spans="1:7" x14ac:dyDescent="0.15">
      <c r="A236" s="2" t="s">
        <v>725</v>
      </c>
      <c r="B236" s="2" t="s">
        <v>726</v>
      </c>
      <c r="C236" s="2" t="s">
        <v>727</v>
      </c>
      <c r="D236" s="2" t="s">
        <v>10</v>
      </c>
      <c r="E236" s="2" t="s">
        <v>16</v>
      </c>
      <c r="F236" s="3" t="str">
        <f>HYPERLINK("http://ovidsp.ovid.com/ovidweb.cgi?T=JS&amp;NEWS=n&amp;CSC=Y&amp;PAGE=booktext&amp;D=books&amp;AN=01382839$&amp;XPATH=/PG(0)","http://ovidsp.ovid.com/ovidweb.cgi?T=JS&amp;NEWS=n&amp;CSC=Y&amp;PAGE=booktext&amp;D=books&amp;AN=01382839$&amp;XPATH=/PG(0)")</f>
        <v>http://ovidsp.ovid.com/ovidweb.cgi?T=JS&amp;NEWS=n&amp;CSC=Y&amp;PAGE=booktext&amp;D=books&amp;AN=01382839$&amp;XPATH=/PG(0)</v>
      </c>
      <c r="G236" s="2" t="s">
        <v>12</v>
      </c>
    </row>
    <row r="237" spans="1:7" x14ac:dyDescent="0.15">
      <c r="A237" s="2" t="s">
        <v>728</v>
      </c>
      <c r="B237" s="2" t="s">
        <v>729</v>
      </c>
      <c r="C237" s="2" t="s">
        <v>730</v>
      </c>
      <c r="D237" s="2" t="s">
        <v>10</v>
      </c>
      <c r="E237" s="2" t="s">
        <v>49</v>
      </c>
      <c r="F237" s="3" t="str">
        <f>HYPERLINK("http://ovidsp.ovid.com/ovidweb.cgi?T=JS&amp;NEWS=n&amp;CSC=Y&amp;PAGE=booktext&amp;D=books&amp;AN=01382750$&amp;XPATH=/PG(0)","http://ovidsp.ovid.com/ovidweb.cgi?T=JS&amp;NEWS=n&amp;CSC=Y&amp;PAGE=booktext&amp;D=books&amp;AN=01382750$&amp;XPATH=/PG(0)")</f>
        <v>http://ovidsp.ovid.com/ovidweb.cgi?T=JS&amp;NEWS=n&amp;CSC=Y&amp;PAGE=booktext&amp;D=books&amp;AN=01382750$&amp;XPATH=/PG(0)</v>
      </c>
      <c r="G237" s="2" t="s">
        <v>12</v>
      </c>
    </row>
    <row r="238" spans="1:7" x14ac:dyDescent="0.15">
      <c r="A238" s="2" t="s">
        <v>731</v>
      </c>
      <c r="B238" s="2" t="s">
        <v>732</v>
      </c>
      <c r="C238" s="2" t="s">
        <v>733</v>
      </c>
      <c r="D238" s="2" t="s">
        <v>10</v>
      </c>
      <c r="E238" s="2" t="s">
        <v>16</v>
      </c>
      <c r="F238" s="3" t="str">
        <f>HYPERLINK("http://ovidsp.ovid.com/ovidweb.cgi?T=JS&amp;NEWS=n&amp;CSC=Y&amp;PAGE=booktext&amp;D=books&amp;AN=01382873$&amp;XPATH=/PG(0)","http://ovidsp.ovid.com/ovidweb.cgi?T=JS&amp;NEWS=n&amp;CSC=Y&amp;PAGE=booktext&amp;D=books&amp;AN=01382873$&amp;XPATH=/PG(0)")</f>
        <v>http://ovidsp.ovid.com/ovidweb.cgi?T=JS&amp;NEWS=n&amp;CSC=Y&amp;PAGE=booktext&amp;D=books&amp;AN=01382873$&amp;XPATH=/PG(0)</v>
      </c>
      <c r="G238" s="2" t="s">
        <v>12</v>
      </c>
    </row>
    <row r="239" spans="1:7" x14ac:dyDescent="0.15">
      <c r="A239" s="2" t="s">
        <v>734</v>
      </c>
      <c r="B239" s="2" t="s">
        <v>735</v>
      </c>
      <c r="C239" s="2" t="s">
        <v>736</v>
      </c>
      <c r="D239" s="2" t="s">
        <v>10</v>
      </c>
      <c r="E239" s="2" t="s">
        <v>16</v>
      </c>
      <c r="F239" s="3" t="str">
        <f>HYPERLINK("http://ovidsp.ovid.com/ovidweb.cgi?T=JS&amp;NEWS=n&amp;CSC=Y&amp;PAGE=booktext&amp;D=books&amp;AN=01382853$&amp;XPATH=/PG(0)","http://ovidsp.ovid.com/ovidweb.cgi?T=JS&amp;NEWS=n&amp;CSC=Y&amp;PAGE=booktext&amp;D=books&amp;AN=01382853$&amp;XPATH=/PG(0)")</f>
        <v>http://ovidsp.ovid.com/ovidweb.cgi?T=JS&amp;NEWS=n&amp;CSC=Y&amp;PAGE=booktext&amp;D=books&amp;AN=01382853$&amp;XPATH=/PG(0)</v>
      </c>
      <c r="G239" s="2" t="s">
        <v>12</v>
      </c>
    </row>
    <row r="240" spans="1:7" x14ac:dyDescent="0.15">
      <c r="A240" s="2" t="s">
        <v>737</v>
      </c>
      <c r="B240" s="2" t="s">
        <v>738</v>
      </c>
      <c r="C240" s="2" t="s">
        <v>739</v>
      </c>
      <c r="D240" s="2" t="s">
        <v>10</v>
      </c>
      <c r="E240" s="2" t="s">
        <v>16</v>
      </c>
      <c r="F240" s="3" t="str">
        <f>HYPERLINK("http://ovidsp.ovid.com/ovidweb.cgi?T=JS&amp;NEWS=n&amp;CSC=Y&amp;PAGE=booktext&amp;D=books&amp;AN=01382738$&amp;XPATH=/PG(0)","http://ovidsp.ovid.com/ovidweb.cgi?T=JS&amp;NEWS=n&amp;CSC=Y&amp;PAGE=booktext&amp;D=books&amp;AN=01382738$&amp;XPATH=/PG(0)")</f>
        <v>http://ovidsp.ovid.com/ovidweb.cgi?T=JS&amp;NEWS=n&amp;CSC=Y&amp;PAGE=booktext&amp;D=books&amp;AN=01382738$&amp;XPATH=/PG(0)</v>
      </c>
      <c r="G240" s="2" t="s">
        <v>12</v>
      </c>
    </row>
    <row r="241" spans="1:7" x14ac:dyDescent="0.15">
      <c r="A241" s="2" t="s">
        <v>740</v>
      </c>
      <c r="B241" s="2" t="s">
        <v>741</v>
      </c>
      <c r="C241" s="2" t="s">
        <v>742</v>
      </c>
      <c r="D241" s="2" t="s">
        <v>10</v>
      </c>
      <c r="E241" s="2" t="s">
        <v>16</v>
      </c>
      <c r="F241" s="3" t="str">
        <f>HYPERLINK("http://ovidsp.ovid.com/ovidweb.cgi?T=JS&amp;NEWS=n&amp;CSC=Y&amp;PAGE=booktext&amp;D=books&amp;AN=01382780$&amp;XPATH=/PG(0)","http://ovidsp.ovid.com/ovidweb.cgi?T=JS&amp;NEWS=n&amp;CSC=Y&amp;PAGE=booktext&amp;D=books&amp;AN=01382780$&amp;XPATH=/PG(0)")</f>
        <v>http://ovidsp.ovid.com/ovidweb.cgi?T=JS&amp;NEWS=n&amp;CSC=Y&amp;PAGE=booktext&amp;D=books&amp;AN=01382780$&amp;XPATH=/PG(0)</v>
      </c>
      <c r="G241" s="2" t="s">
        <v>17</v>
      </c>
    </row>
    <row r="242" spans="1:7" x14ac:dyDescent="0.15">
      <c r="A242" s="2" t="s">
        <v>743</v>
      </c>
      <c r="B242" s="2" t="s">
        <v>744</v>
      </c>
      <c r="C242" s="2" t="s">
        <v>745</v>
      </c>
      <c r="D242" s="2" t="s">
        <v>10</v>
      </c>
      <c r="E242" s="2" t="s">
        <v>53</v>
      </c>
      <c r="F242" s="3" t="str">
        <f>HYPERLINK("http://ovidsp.ovid.com/ovidweb.cgi?T=JS&amp;NEWS=n&amp;CSC=Y&amp;PAGE=booktext&amp;D=books&amp;AN=01382847$&amp;XPATH=/PG(0)","http://ovidsp.ovid.com/ovidweb.cgi?T=JS&amp;NEWS=n&amp;CSC=Y&amp;PAGE=booktext&amp;D=books&amp;AN=01382847$&amp;XPATH=/PG(0)")</f>
        <v>http://ovidsp.ovid.com/ovidweb.cgi?T=JS&amp;NEWS=n&amp;CSC=Y&amp;PAGE=booktext&amp;D=books&amp;AN=01382847$&amp;XPATH=/PG(0)</v>
      </c>
      <c r="G242" s="2" t="s">
        <v>12</v>
      </c>
    </row>
    <row r="243" spans="1:7" x14ac:dyDescent="0.15">
      <c r="A243" s="2" t="s">
        <v>746</v>
      </c>
      <c r="B243" s="2" t="s">
        <v>747</v>
      </c>
      <c r="C243" s="2" t="s">
        <v>748</v>
      </c>
      <c r="D243" s="2" t="s">
        <v>749</v>
      </c>
      <c r="E243" s="2" t="s">
        <v>95</v>
      </c>
      <c r="F243" s="3" t="str">
        <f>HYPERLINK("http://ovidsp.ovid.com/ovidweb.cgi?T=JS&amp;NEWS=n&amp;CSC=Y&amp;PAGE=booktext&amp;D=books&amp;AN=01256965$&amp;XPATH=/PG(0)","http://ovidsp.ovid.com/ovidweb.cgi?T=JS&amp;NEWS=n&amp;CSC=Y&amp;PAGE=booktext&amp;D=books&amp;AN=01256965$&amp;XPATH=/PG(0)")</f>
        <v>http://ovidsp.ovid.com/ovidweb.cgi?T=JS&amp;NEWS=n&amp;CSC=Y&amp;PAGE=booktext&amp;D=books&amp;AN=01256965$&amp;XPATH=/PG(0)</v>
      </c>
      <c r="G243" s="2" t="s">
        <v>17</v>
      </c>
    </row>
    <row r="244" spans="1:7" x14ac:dyDescent="0.15">
      <c r="A244" s="2" t="s">
        <v>750</v>
      </c>
      <c r="B244" s="2" t="s">
        <v>751</v>
      </c>
      <c r="C244" s="2" t="s">
        <v>752</v>
      </c>
      <c r="D244" s="2" t="s">
        <v>10</v>
      </c>
      <c r="E244" s="2" t="s">
        <v>16</v>
      </c>
      <c r="F244" s="3" t="str">
        <f>HYPERLINK("http://ovidsp.ovid.com/ovidweb.cgi?T=JS&amp;NEWS=n&amp;CSC=Y&amp;PAGE=booktext&amp;D=books&amp;AN=01382500$&amp;XPATH=/PG(0)","http://ovidsp.ovid.com/ovidweb.cgi?T=JS&amp;NEWS=n&amp;CSC=Y&amp;PAGE=booktext&amp;D=books&amp;AN=01382500$&amp;XPATH=/PG(0)")</f>
        <v>http://ovidsp.ovid.com/ovidweb.cgi?T=JS&amp;NEWS=n&amp;CSC=Y&amp;PAGE=booktext&amp;D=books&amp;AN=01382500$&amp;XPATH=/PG(0)</v>
      </c>
      <c r="G244" s="2" t="s">
        <v>12</v>
      </c>
    </row>
    <row r="245" spans="1:7" x14ac:dyDescent="0.15">
      <c r="A245" s="2" t="s">
        <v>753</v>
      </c>
      <c r="B245" s="2" t="s">
        <v>754</v>
      </c>
      <c r="C245" s="2" t="s">
        <v>755</v>
      </c>
      <c r="D245" s="2" t="s">
        <v>10</v>
      </c>
      <c r="E245" s="2" t="s">
        <v>53</v>
      </c>
      <c r="F245" s="3" t="str">
        <f>HYPERLINK("http://ovidsp.ovid.com/ovidweb.cgi?T=JS&amp;NEWS=n&amp;CSC=Y&amp;PAGE=booktext&amp;D=books&amp;AN=01222988$&amp;XPATH=/PG(0)","http://ovidsp.ovid.com/ovidweb.cgi?T=JS&amp;NEWS=n&amp;CSC=Y&amp;PAGE=booktext&amp;D=books&amp;AN=01222988$&amp;XPATH=/PG(0)")</f>
        <v>http://ovidsp.ovid.com/ovidweb.cgi?T=JS&amp;NEWS=n&amp;CSC=Y&amp;PAGE=booktext&amp;D=books&amp;AN=01222988$&amp;XPATH=/PG(0)</v>
      </c>
      <c r="G245" s="2" t="s">
        <v>17</v>
      </c>
    </row>
    <row r="246" spans="1:7" x14ac:dyDescent="0.15">
      <c r="A246" s="2" t="s">
        <v>756</v>
      </c>
      <c r="B246" s="2" t="s">
        <v>757</v>
      </c>
      <c r="C246" s="2" t="s">
        <v>758</v>
      </c>
      <c r="D246" s="2" t="s">
        <v>10</v>
      </c>
      <c r="E246" s="2" t="s">
        <v>45</v>
      </c>
      <c r="F246" s="3" t="str">
        <f>HYPERLINK("http://ovidsp.ovid.com/ovidweb.cgi?T=JS&amp;NEWS=n&amp;CSC=Y&amp;PAGE=booktext&amp;D=books&amp;AN=01382762$&amp;XPATH=/PG(0)","http://ovidsp.ovid.com/ovidweb.cgi?T=JS&amp;NEWS=n&amp;CSC=Y&amp;PAGE=booktext&amp;D=books&amp;AN=01382762$&amp;XPATH=/PG(0)")</f>
        <v>http://ovidsp.ovid.com/ovidweb.cgi?T=JS&amp;NEWS=n&amp;CSC=Y&amp;PAGE=booktext&amp;D=books&amp;AN=01382762$&amp;XPATH=/PG(0)</v>
      </c>
      <c r="G246" s="2" t="s">
        <v>12</v>
      </c>
    </row>
    <row r="247" spans="1:7" x14ac:dyDescent="0.15">
      <c r="A247" s="2" t="s">
        <v>759</v>
      </c>
      <c r="B247" s="2" t="s">
        <v>760</v>
      </c>
      <c r="C247" s="2" t="s">
        <v>761</v>
      </c>
      <c r="D247" s="2" t="s">
        <v>10</v>
      </c>
      <c r="E247" s="2" t="s">
        <v>16</v>
      </c>
      <c r="F247" s="3" t="str">
        <f>HYPERLINK("http://ovidsp.ovid.com/ovidweb.cgi?T=JS&amp;NEWS=n&amp;CSC=Y&amp;PAGE=booktext&amp;D=books&amp;AN=01382797$&amp;XPATH=/PG(0)","http://ovidsp.ovid.com/ovidweb.cgi?T=JS&amp;NEWS=n&amp;CSC=Y&amp;PAGE=booktext&amp;D=books&amp;AN=01382797$&amp;XPATH=/PG(0)")</f>
        <v>http://ovidsp.ovid.com/ovidweb.cgi?T=JS&amp;NEWS=n&amp;CSC=Y&amp;PAGE=booktext&amp;D=books&amp;AN=01382797$&amp;XPATH=/PG(0)</v>
      </c>
      <c r="G247" s="2" t="s">
        <v>12</v>
      </c>
    </row>
    <row r="248" spans="1:7" x14ac:dyDescent="0.15">
      <c r="A248" s="2" t="s">
        <v>762</v>
      </c>
      <c r="B248" s="2" t="s">
        <v>763</v>
      </c>
      <c r="C248" s="2" t="s">
        <v>764</v>
      </c>
      <c r="D248" s="2" t="s">
        <v>10</v>
      </c>
      <c r="E248" s="2" t="s">
        <v>16</v>
      </c>
      <c r="F248" s="3" t="str">
        <f>HYPERLINK("http://ovidsp.ovid.com/ovidweb.cgi?T=JS&amp;NEWS=n&amp;CSC=Y&amp;PAGE=booktext&amp;D=books&amp;AN=01382848$&amp;XPATH=/PG(0)","http://ovidsp.ovid.com/ovidweb.cgi?T=JS&amp;NEWS=n&amp;CSC=Y&amp;PAGE=booktext&amp;D=books&amp;AN=01382848$&amp;XPATH=/PG(0)")</f>
        <v>http://ovidsp.ovid.com/ovidweb.cgi?T=JS&amp;NEWS=n&amp;CSC=Y&amp;PAGE=booktext&amp;D=books&amp;AN=01382848$&amp;XPATH=/PG(0)</v>
      </c>
      <c r="G248" s="2" t="s">
        <v>12</v>
      </c>
    </row>
    <row r="249" spans="1:7" x14ac:dyDescent="0.15">
      <c r="A249" s="2" t="s">
        <v>765</v>
      </c>
      <c r="B249" s="2" t="s">
        <v>766</v>
      </c>
      <c r="C249" s="2" t="s">
        <v>767</v>
      </c>
      <c r="D249" s="2" t="s">
        <v>10</v>
      </c>
      <c r="E249" s="2" t="s">
        <v>16</v>
      </c>
      <c r="F249" s="3" t="str">
        <f>HYPERLINK("http://ovidsp.ovid.com/ovidweb.cgi?T=JS&amp;NEWS=n&amp;CSC=Y&amp;PAGE=booktext&amp;D=books&amp;AN=01337294$&amp;XPATH=/PG(0)","http://ovidsp.ovid.com/ovidweb.cgi?T=JS&amp;NEWS=n&amp;CSC=Y&amp;PAGE=booktext&amp;D=books&amp;AN=01337294$&amp;XPATH=/PG(0)")</f>
        <v>http://ovidsp.ovid.com/ovidweb.cgi?T=JS&amp;NEWS=n&amp;CSC=Y&amp;PAGE=booktext&amp;D=books&amp;AN=01337294$&amp;XPATH=/PG(0)</v>
      </c>
      <c r="G249" s="2" t="s">
        <v>17</v>
      </c>
    </row>
    <row r="250" spans="1:7" x14ac:dyDescent="0.15">
      <c r="A250" s="2" t="s">
        <v>768</v>
      </c>
      <c r="B250" s="2" t="s">
        <v>769</v>
      </c>
      <c r="C250" s="2" t="s">
        <v>770</v>
      </c>
      <c r="D250" s="2" t="s">
        <v>10</v>
      </c>
      <c r="E250" s="2" t="s">
        <v>16</v>
      </c>
      <c r="F250" s="3" t="str">
        <f>HYPERLINK("http://ovidsp.ovid.com/ovidweb.cgi?T=JS&amp;NEWS=n&amp;CSC=Y&amp;PAGE=booktext&amp;D=books&amp;AN=01382807$&amp;XPATH=/PG(0)","http://ovidsp.ovid.com/ovidweb.cgi?T=JS&amp;NEWS=n&amp;CSC=Y&amp;PAGE=booktext&amp;D=books&amp;AN=01382807$&amp;XPATH=/PG(0)")</f>
        <v>http://ovidsp.ovid.com/ovidweb.cgi?T=JS&amp;NEWS=n&amp;CSC=Y&amp;PAGE=booktext&amp;D=books&amp;AN=01382807$&amp;XPATH=/PG(0)</v>
      </c>
      <c r="G250" s="2" t="s">
        <v>12</v>
      </c>
    </row>
    <row r="251" spans="1:7" x14ac:dyDescent="0.15">
      <c r="A251" s="2" t="s">
        <v>771</v>
      </c>
      <c r="B251" s="2" t="s">
        <v>772</v>
      </c>
      <c r="C251" s="2" t="s">
        <v>773</v>
      </c>
      <c r="D251" s="2" t="s">
        <v>10</v>
      </c>
      <c r="E251" s="2" t="s">
        <v>95</v>
      </c>
      <c r="F251" s="3" t="str">
        <f>HYPERLINK("http://ovidsp.ovid.com/ovidweb.cgi?T=JS&amp;NEWS=n&amp;CSC=Y&amp;PAGE=booktext&amp;D=books&amp;AN=01382532$&amp;XPATH=/PG(0)","http://ovidsp.ovid.com/ovidweb.cgi?T=JS&amp;NEWS=n&amp;CSC=Y&amp;PAGE=booktext&amp;D=books&amp;AN=01382532$&amp;XPATH=/PG(0)")</f>
        <v>http://ovidsp.ovid.com/ovidweb.cgi?T=JS&amp;NEWS=n&amp;CSC=Y&amp;PAGE=booktext&amp;D=books&amp;AN=01382532$&amp;XPATH=/PG(0)</v>
      </c>
      <c r="G251" s="2" t="s">
        <v>17</v>
      </c>
    </row>
    <row r="252" spans="1:7" x14ac:dyDescent="0.15">
      <c r="A252" s="2" t="s">
        <v>774</v>
      </c>
      <c r="B252" s="2" t="s">
        <v>775</v>
      </c>
      <c r="C252" s="2" t="s">
        <v>776</v>
      </c>
      <c r="D252" s="2" t="s">
        <v>10</v>
      </c>
      <c r="E252" s="2" t="s">
        <v>53</v>
      </c>
      <c r="F252" s="3" t="str">
        <f>HYPERLINK("http://ovidsp.ovid.com/ovidweb.cgi?T=JS&amp;NEWS=n&amp;CSC=Y&amp;PAGE=booktext&amp;D=books&amp;AN=01382533$&amp;XPATH=/PG(0)","http://ovidsp.ovid.com/ovidweb.cgi?T=JS&amp;NEWS=n&amp;CSC=Y&amp;PAGE=booktext&amp;D=books&amp;AN=01382533$&amp;XPATH=/PG(0)")</f>
        <v>http://ovidsp.ovid.com/ovidweb.cgi?T=JS&amp;NEWS=n&amp;CSC=Y&amp;PAGE=booktext&amp;D=books&amp;AN=01382533$&amp;XPATH=/PG(0)</v>
      </c>
      <c r="G252" s="2" t="s">
        <v>17</v>
      </c>
    </row>
    <row r="253" spans="1:7" x14ac:dyDescent="0.15">
      <c r="A253" s="2" t="s">
        <v>777</v>
      </c>
      <c r="B253" s="2" t="s">
        <v>778</v>
      </c>
      <c r="C253" s="2" t="s">
        <v>779</v>
      </c>
      <c r="D253" s="2" t="s">
        <v>10</v>
      </c>
      <c r="E253" s="2" t="s">
        <v>49</v>
      </c>
      <c r="F253" s="3" t="str">
        <f>HYPERLINK("http://ovidsp.ovid.com/ovidweb.cgi?T=JS&amp;NEWS=n&amp;CSC=Y&amp;PAGE=booktext&amp;D=books&amp;AN=01382755$&amp;XPATH=/PG(0)","http://ovidsp.ovid.com/ovidweb.cgi?T=JS&amp;NEWS=n&amp;CSC=Y&amp;PAGE=booktext&amp;D=books&amp;AN=01382755$&amp;XPATH=/PG(0)")</f>
        <v>http://ovidsp.ovid.com/ovidweb.cgi?T=JS&amp;NEWS=n&amp;CSC=Y&amp;PAGE=booktext&amp;D=books&amp;AN=01382755$&amp;XPATH=/PG(0)</v>
      </c>
      <c r="G253" s="2" t="s">
        <v>12</v>
      </c>
    </row>
    <row r="254" spans="1:7" x14ac:dyDescent="0.15">
      <c r="A254" s="2" t="s">
        <v>780</v>
      </c>
      <c r="B254" s="2" t="s">
        <v>781</v>
      </c>
      <c r="C254" s="2" t="s">
        <v>782</v>
      </c>
      <c r="D254" s="2" t="s">
        <v>10</v>
      </c>
      <c r="E254" s="2" t="s">
        <v>49</v>
      </c>
      <c r="F254" s="3" t="str">
        <f>HYPERLINK("http://ovidsp.ovid.com/ovidweb.cgi?T=JS&amp;NEWS=n&amp;CSC=Y&amp;PAGE=booktext&amp;D=books&amp;AN=01257007$&amp;XPATH=/PG(0)","http://ovidsp.ovid.com/ovidweb.cgi?T=JS&amp;NEWS=n&amp;CSC=Y&amp;PAGE=booktext&amp;D=books&amp;AN=01257007$&amp;XPATH=/PG(0)")</f>
        <v>http://ovidsp.ovid.com/ovidweb.cgi?T=JS&amp;NEWS=n&amp;CSC=Y&amp;PAGE=booktext&amp;D=books&amp;AN=01257007$&amp;XPATH=/PG(0)</v>
      </c>
      <c r="G254" s="2" t="s">
        <v>17</v>
      </c>
    </row>
    <row r="255" spans="1:7" x14ac:dyDescent="0.15">
      <c r="A255" s="2" t="s">
        <v>783</v>
      </c>
      <c r="B255" s="2" t="s">
        <v>784</v>
      </c>
      <c r="C255" s="2" t="s">
        <v>785</v>
      </c>
      <c r="D255" s="2" t="s">
        <v>10</v>
      </c>
      <c r="E255" s="2" t="s">
        <v>95</v>
      </c>
      <c r="F255" s="3" t="str">
        <f>HYPERLINK("http://ovidsp.ovid.com/ovidweb.cgi?T=JS&amp;NEWS=n&amp;CSC=Y&amp;PAGE=booktext&amp;D=books&amp;AN=01382537$&amp;XPATH=/PG(0)","http://ovidsp.ovid.com/ovidweb.cgi?T=JS&amp;NEWS=n&amp;CSC=Y&amp;PAGE=booktext&amp;D=books&amp;AN=01382537$&amp;XPATH=/PG(0)")</f>
        <v>http://ovidsp.ovid.com/ovidweb.cgi?T=JS&amp;NEWS=n&amp;CSC=Y&amp;PAGE=booktext&amp;D=books&amp;AN=01382537$&amp;XPATH=/PG(0)</v>
      </c>
      <c r="G255" s="2" t="s">
        <v>17</v>
      </c>
    </row>
    <row r="256" spans="1:7" x14ac:dyDescent="0.15">
      <c r="A256" s="2" t="s">
        <v>786</v>
      </c>
      <c r="B256" s="2" t="s">
        <v>787</v>
      </c>
      <c r="C256" s="2" t="s">
        <v>788</v>
      </c>
      <c r="D256" s="2" t="s">
        <v>10</v>
      </c>
      <c r="E256" s="2" t="s">
        <v>16</v>
      </c>
      <c r="F256" s="3" t="str">
        <f>HYPERLINK("http://ovidsp.ovid.com/ovidweb.cgi?T=JS&amp;NEWS=n&amp;CSC=Y&amp;PAGE=booktext&amp;D=books&amp;AN=01382803$&amp;XPATH=/PG(0)","http://ovidsp.ovid.com/ovidweb.cgi?T=JS&amp;NEWS=n&amp;CSC=Y&amp;PAGE=booktext&amp;D=books&amp;AN=01382803$&amp;XPATH=/PG(0)")</f>
        <v>http://ovidsp.ovid.com/ovidweb.cgi?T=JS&amp;NEWS=n&amp;CSC=Y&amp;PAGE=booktext&amp;D=books&amp;AN=01382803$&amp;XPATH=/PG(0)</v>
      </c>
      <c r="G256" s="2" t="s">
        <v>12</v>
      </c>
    </row>
    <row r="257" spans="1:7" x14ac:dyDescent="0.15">
      <c r="A257" s="2" t="s">
        <v>789</v>
      </c>
      <c r="B257" s="2" t="s">
        <v>790</v>
      </c>
      <c r="C257" s="2" t="s">
        <v>791</v>
      </c>
      <c r="D257" s="2" t="s">
        <v>10</v>
      </c>
      <c r="E257" s="2" t="s">
        <v>16</v>
      </c>
      <c r="F257" s="3" t="str">
        <f>HYPERLINK("http://ovidsp.ovid.com/ovidweb.cgi?T=JS&amp;NEWS=n&amp;CSC=Y&amp;PAGE=booktext&amp;D=books&amp;AN=01382538$&amp;XPATH=/PG(0)","http://ovidsp.ovid.com/ovidweb.cgi?T=JS&amp;NEWS=n&amp;CSC=Y&amp;PAGE=booktext&amp;D=books&amp;AN=01382538$&amp;XPATH=/PG(0)")</f>
        <v>http://ovidsp.ovid.com/ovidweb.cgi?T=JS&amp;NEWS=n&amp;CSC=Y&amp;PAGE=booktext&amp;D=books&amp;AN=01382538$&amp;XPATH=/PG(0)</v>
      </c>
      <c r="G257" s="2" t="s">
        <v>17</v>
      </c>
    </row>
    <row r="258" spans="1:7" x14ac:dyDescent="0.15">
      <c r="A258" s="2" t="s">
        <v>792</v>
      </c>
      <c r="B258" s="2" t="s">
        <v>793</v>
      </c>
      <c r="C258" s="2" t="s">
        <v>794</v>
      </c>
      <c r="D258" s="2" t="s">
        <v>10</v>
      </c>
      <c r="E258" s="2" t="s">
        <v>16</v>
      </c>
      <c r="F258" s="3" t="str">
        <f>HYPERLINK("http://ovidsp.ovid.com/ovidweb.cgi?T=JS&amp;NEWS=n&amp;CSC=Y&amp;PAGE=booktext&amp;D=books&amp;AN=00139916$&amp;XPATH=/PG(0)","http://ovidsp.ovid.com/ovidweb.cgi?T=JS&amp;NEWS=n&amp;CSC=Y&amp;PAGE=booktext&amp;D=books&amp;AN=00139916$&amp;XPATH=/PG(0)")</f>
        <v>http://ovidsp.ovid.com/ovidweb.cgi?T=JS&amp;NEWS=n&amp;CSC=Y&amp;PAGE=booktext&amp;D=books&amp;AN=00139916$&amp;XPATH=/PG(0)</v>
      </c>
      <c r="G258" s="2" t="s">
        <v>17</v>
      </c>
    </row>
    <row r="259" spans="1:7" x14ac:dyDescent="0.15">
      <c r="A259" s="2" t="s">
        <v>795</v>
      </c>
      <c r="B259" s="2" t="s">
        <v>796</v>
      </c>
      <c r="C259" s="2" t="s">
        <v>797</v>
      </c>
      <c r="D259" s="2" t="s">
        <v>10</v>
      </c>
      <c r="E259" s="2" t="s">
        <v>16</v>
      </c>
      <c r="F259" s="3" t="str">
        <f>HYPERLINK("http://ovidsp.ovid.com/ovidweb.cgi?T=JS&amp;NEWS=n&amp;CSC=Y&amp;PAGE=booktext&amp;D=books&amp;AN=01257008$&amp;XPATH=/PG(0)","http://ovidsp.ovid.com/ovidweb.cgi?T=JS&amp;NEWS=n&amp;CSC=Y&amp;PAGE=booktext&amp;D=books&amp;AN=01257008$&amp;XPATH=/PG(0)")</f>
        <v>http://ovidsp.ovid.com/ovidweb.cgi?T=JS&amp;NEWS=n&amp;CSC=Y&amp;PAGE=booktext&amp;D=books&amp;AN=01257008$&amp;XPATH=/PG(0)</v>
      </c>
      <c r="G259" s="2" t="s">
        <v>17</v>
      </c>
    </row>
    <row r="260" spans="1:7" x14ac:dyDescent="0.15">
      <c r="A260" s="2" t="s">
        <v>798</v>
      </c>
      <c r="B260" s="2" t="s">
        <v>799</v>
      </c>
      <c r="C260" s="2" t="s">
        <v>800</v>
      </c>
      <c r="D260" s="2" t="s">
        <v>10</v>
      </c>
      <c r="E260" s="2" t="s">
        <v>53</v>
      </c>
      <c r="F260" s="3" t="str">
        <f>HYPERLINK("http://ovidsp.ovid.com/ovidweb.cgi?T=JS&amp;NEWS=n&amp;CSC=Y&amp;PAGE=booktext&amp;D=books&amp;AN=01382539$&amp;XPATH=/PG(0)","http://ovidsp.ovid.com/ovidweb.cgi?T=JS&amp;NEWS=n&amp;CSC=Y&amp;PAGE=booktext&amp;D=books&amp;AN=01382539$&amp;XPATH=/PG(0)")</f>
        <v>http://ovidsp.ovid.com/ovidweb.cgi?T=JS&amp;NEWS=n&amp;CSC=Y&amp;PAGE=booktext&amp;D=books&amp;AN=01382539$&amp;XPATH=/PG(0)</v>
      </c>
      <c r="G260" s="2" t="s">
        <v>17</v>
      </c>
    </row>
    <row r="261" spans="1:7" x14ac:dyDescent="0.15">
      <c r="A261" s="2" t="s">
        <v>801</v>
      </c>
      <c r="B261" s="2" t="s">
        <v>802</v>
      </c>
      <c r="C261" s="2" t="s">
        <v>803</v>
      </c>
      <c r="D261" s="2" t="s">
        <v>10</v>
      </c>
      <c r="E261" s="2" t="s">
        <v>95</v>
      </c>
      <c r="F261" s="3" t="str">
        <f>HYPERLINK("http://ovidsp.ovid.com/ovidweb.cgi?T=JS&amp;NEWS=n&amp;CSC=Y&amp;PAGE=booktext&amp;D=books&amp;AN=01382540$&amp;XPATH=/PG(0)","http://ovidsp.ovid.com/ovidweb.cgi?T=JS&amp;NEWS=n&amp;CSC=Y&amp;PAGE=booktext&amp;D=books&amp;AN=01382540$&amp;XPATH=/PG(0)")</f>
        <v>http://ovidsp.ovid.com/ovidweb.cgi?T=JS&amp;NEWS=n&amp;CSC=Y&amp;PAGE=booktext&amp;D=books&amp;AN=01382540$&amp;XPATH=/PG(0)</v>
      </c>
      <c r="G261" s="2" t="s">
        <v>17</v>
      </c>
    </row>
    <row r="262" spans="1:7" x14ac:dyDescent="0.15">
      <c r="A262" s="2" t="s">
        <v>804</v>
      </c>
      <c r="B262" s="2" t="s">
        <v>805</v>
      </c>
      <c r="C262" s="2" t="s">
        <v>806</v>
      </c>
      <c r="D262" s="2" t="s">
        <v>10</v>
      </c>
      <c r="E262" s="2" t="s">
        <v>95</v>
      </c>
      <c r="F262" s="3" t="str">
        <f>HYPERLINK("http://ovidsp.ovid.com/ovidweb.cgi?T=JS&amp;NEWS=n&amp;CSC=Y&amp;PAGE=booktext&amp;D=books&amp;AN=01337532$&amp;XPATH=/PG(0)","http://ovidsp.ovid.com/ovidweb.cgi?T=JS&amp;NEWS=n&amp;CSC=Y&amp;PAGE=booktext&amp;D=books&amp;AN=01337532$&amp;XPATH=/PG(0)")</f>
        <v>http://ovidsp.ovid.com/ovidweb.cgi?T=JS&amp;NEWS=n&amp;CSC=Y&amp;PAGE=booktext&amp;D=books&amp;AN=01337532$&amp;XPATH=/PG(0)</v>
      </c>
      <c r="G262" s="2" t="s">
        <v>17</v>
      </c>
    </row>
    <row r="263" spans="1:7" x14ac:dyDescent="0.15">
      <c r="A263" s="2" t="s">
        <v>807</v>
      </c>
      <c r="B263" s="2" t="s">
        <v>808</v>
      </c>
      <c r="C263" s="2" t="s">
        <v>809</v>
      </c>
      <c r="D263" s="2" t="s">
        <v>10</v>
      </c>
      <c r="E263" s="2" t="s">
        <v>45</v>
      </c>
      <c r="F263" s="3" t="str">
        <f>HYPERLINK("http://ovidsp.ovid.com/ovidweb.cgi?T=JS&amp;NEWS=n&amp;CSC=Y&amp;PAGE=booktext&amp;D=books&amp;AN=01279739$&amp;XPATH=/PG(0)","http://ovidsp.ovid.com/ovidweb.cgi?T=JS&amp;NEWS=n&amp;CSC=Y&amp;PAGE=booktext&amp;D=books&amp;AN=01279739$&amp;XPATH=/PG(0)")</f>
        <v>http://ovidsp.ovid.com/ovidweb.cgi?T=JS&amp;NEWS=n&amp;CSC=Y&amp;PAGE=booktext&amp;D=books&amp;AN=01279739$&amp;XPATH=/PG(0)</v>
      </c>
      <c r="G263" s="2" t="s">
        <v>17</v>
      </c>
    </row>
    <row r="264" spans="1:7" x14ac:dyDescent="0.15">
      <c r="A264" s="2" t="s">
        <v>810</v>
      </c>
      <c r="B264" s="2" t="s">
        <v>811</v>
      </c>
      <c r="C264" s="2" t="s">
        <v>812</v>
      </c>
      <c r="D264" s="2" t="s">
        <v>10</v>
      </c>
      <c r="E264" s="2" t="s">
        <v>16</v>
      </c>
      <c r="F264" s="3" t="str">
        <f>HYPERLINK("http://ovidsp.ovid.com/ovidweb.cgi?T=JS&amp;NEWS=n&amp;CSC=Y&amp;PAGE=booktext&amp;D=books&amp;AN=01279740$&amp;XPATH=/PG(0)","http://ovidsp.ovid.com/ovidweb.cgi?T=JS&amp;NEWS=n&amp;CSC=Y&amp;PAGE=booktext&amp;D=books&amp;AN=01279740$&amp;XPATH=/PG(0)")</f>
        <v>http://ovidsp.ovid.com/ovidweb.cgi?T=JS&amp;NEWS=n&amp;CSC=Y&amp;PAGE=booktext&amp;D=books&amp;AN=01279740$&amp;XPATH=/PG(0)</v>
      </c>
      <c r="G264" s="2" t="s">
        <v>17</v>
      </c>
    </row>
    <row r="265" spans="1:7" x14ac:dyDescent="0.15">
      <c r="A265" s="2" t="s">
        <v>813</v>
      </c>
      <c r="B265" s="2" t="s">
        <v>814</v>
      </c>
      <c r="C265" s="2" t="s">
        <v>815</v>
      </c>
      <c r="D265" s="2" t="s">
        <v>10</v>
      </c>
      <c r="E265" s="2" t="s">
        <v>16</v>
      </c>
      <c r="F265" s="3" t="str">
        <f>HYPERLINK("http://ovidsp.ovid.com/ovidweb.cgi?T=JS&amp;NEWS=n&amp;CSC=Y&amp;PAGE=booktext&amp;D=books&amp;AN=01257041$&amp;XPATH=/PG(0)","http://ovidsp.ovid.com/ovidweb.cgi?T=JS&amp;NEWS=n&amp;CSC=Y&amp;PAGE=booktext&amp;D=books&amp;AN=01257041$&amp;XPATH=/PG(0)")</f>
        <v>http://ovidsp.ovid.com/ovidweb.cgi?T=JS&amp;NEWS=n&amp;CSC=Y&amp;PAGE=booktext&amp;D=books&amp;AN=01257041$&amp;XPATH=/PG(0)</v>
      </c>
      <c r="G265" s="2" t="s">
        <v>17</v>
      </c>
    </row>
    <row r="266" spans="1:7" x14ac:dyDescent="0.15">
      <c r="A266" s="2" t="s">
        <v>816</v>
      </c>
      <c r="B266" s="2" t="s">
        <v>817</v>
      </c>
      <c r="C266" s="2" t="s">
        <v>818</v>
      </c>
      <c r="D266" s="2" t="s">
        <v>10</v>
      </c>
      <c r="E266" s="2" t="s">
        <v>16</v>
      </c>
      <c r="F266" s="3" t="str">
        <f>HYPERLINK("http://ovidsp.ovid.com/ovidweb.cgi?T=JS&amp;NEWS=n&amp;CSC=Y&amp;PAGE=booktext&amp;D=books&amp;AN=00139918$&amp;XPATH=/PG(0)","http://ovidsp.ovid.com/ovidweb.cgi?T=JS&amp;NEWS=n&amp;CSC=Y&amp;PAGE=booktext&amp;D=books&amp;AN=00139918$&amp;XPATH=/PG(0)")</f>
        <v>http://ovidsp.ovid.com/ovidweb.cgi?T=JS&amp;NEWS=n&amp;CSC=Y&amp;PAGE=booktext&amp;D=books&amp;AN=00139918$&amp;XPATH=/PG(0)</v>
      </c>
      <c r="G266" s="2" t="s">
        <v>17</v>
      </c>
    </row>
    <row r="267" spans="1:7" x14ac:dyDescent="0.15">
      <c r="A267" s="2" t="s">
        <v>819</v>
      </c>
      <c r="B267" s="2" t="s">
        <v>820</v>
      </c>
      <c r="C267" s="2" t="s">
        <v>821</v>
      </c>
      <c r="D267" s="2" t="s">
        <v>10</v>
      </c>
      <c r="E267" s="2" t="s">
        <v>45</v>
      </c>
      <c r="F267" s="3" t="str">
        <f>HYPERLINK("http://ovidsp.ovid.com/ovidweb.cgi?T=JS&amp;NEWS=n&amp;CSC=Y&amp;PAGE=booktext&amp;D=books&amp;AN=01279702$&amp;XPATH=/PG(0)","http://ovidsp.ovid.com/ovidweb.cgi?T=JS&amp;NEWS=n&amp;CSC=Y&amp;PAGE=booktext&amp;D=books&amp;AN=01279702$&amp;XPATH=/PG(0)")</f>
        <v>http://ovidsp.ovid.com/ovidweb.cgi?T=JS&amp;NEWS=n&amp;CSC=Y&amp;PAGE=booktext&amp;D=books&amp;AN=01279702$&amp;XPATH=/PG(0)</v>
      </c>
      <c r="G267" s="2" t="s">
        <v>12</v>
      </c>
    </row>
    <row r="268" spans="1:7" x14ac:dyDescent="0.15">
      <c r="A268" s="2" t="s">
        <v>822</v>
      </c>
      <c r="B268" s="2" t="s">
        <v>823</v>
      </c>
      <c r="C268" s="2" t="s">
        <v>824</v>
      </c>
      <c r="D268" s="2" t="s">
        <v>10</v>
      </c>
      <c r="E268" s="2" t="s">
        <v>16</v>
      </c>
      <c r="F268" s="3" t="str">
        <f>HYPERLINK("http://ovidsp.ovid.com/ovidweb.cgi?T=JS&amp;NEWS=n&amp;CSC=Y&amp;PAGE=booktext&amp;D=books&amp;AN=01382887$&amp;XPATH=/PG(0)","http://ovidsp.ovid.com/ovidweb.cgi?T=JS&amp;NEWS=n&amp;CSC=Y&amp;PAGE=booktext&amp;D=books&amp;AN=01382887$&amp;XPATH=/PG(0)")</f>
        <v>http://ovidsp.ovid.com/ovidweb.cgi?T=JS&amp;NEWS=n&amp;CSC=Y&amp;PAGE=booktext&amp;D=books&amp;AN=01382887$&amp;XPATH=/PG(0)</v>
      </c>
      <c r="G268" s="2" t="s">
        <v>12</v>
      </c>
    </row>
    <row r="269" spans="1:7" x14ac:dyDescent="0.15">
      <c r="A269" s="2" t="s">
        <v>825</v>
      </c>
      <c r="B269" s="2" t="s">
        <v>826</v>
      </c>
      <c r="C269" s="2" t="s">
        <v>827</v>
      </c>
      <c r="D269" s="2" t="s">
        <v>10</v>
      </c>
      <c r="E269" s="2" t="s">
        <v>235</v>
      </c>
      <c r="F269" s="3" t="str">
        <f>HYPERLINK("http://ovidsp.ovid.com/ovidweb.cgi?T=JS&amp;NEWS=n&amp;CSC=Y&amp;PAGE=booktext&amp;D=books&amp;AN=01222989$&amp;XPATH=/PG(0)","http://ovidsp.ovid.com/ovidweb.cgi?T=JS&amp;NEWS=n&amp;CSC=Y&amp;PAGE=booktext&amp;D=books&amp;AN=01222989$&amp;XPATH=/PG(0)")</f>
        <v>http://ovidsp.ovid.com/ovidweb.cgi?T=JS&amp;NEWS=n&amp;CSC=Y&amp;PAGE=booktext&amp;D=books&amp;AN=01222989$&amp;XPATH=/PG(0)</v>
      </c>
      <c r="G269" s="2" t="s">
        <v>17</v>
      </c>
    </row>
    <row r="270" spans="1:7" x14ac:dyDescent="0.15">
      <c r="A270" s="2" t="s">
        <v>828</v>
      </c>
      <c r="B270" s="2" t="s">
        <v>829</v>
      </c>
      <c r="C270" s="2" t="s">
        <v>830</v>
      </c>
      <c r="D270" s="2" t="s">
        <v>10</v>
      </c>
      <c r="E270" s="2" t="s">
        <v>95</v>
      </c>
      <c r="F270" s="3" t="str">
        <f>HYPERLINK("http://ovidsp.ovid.com/ovidweb.cgi?T=JS&amp;NEWS=n&amp;CSC=Y&amp;PAGE=booktext&amp;D=books&amp;AN=01222990$&amp;XPATH=/PG(0)","http://ovidsp.ovid.com/ovidweb.cgi?T=JS&amp;NEWS=n&amp;CSC=Y&amp;PAGE=booktext&amp;D=books&amp;AN=01222990$&amp;XPATH=/PG(0)")</f>
        <v>http://ovidsp.ovid.com/ovidweb.cgi?T=JS&amp;NEWS=n&amp;CSC=Y&amp;PAGE=booktext&amp;D=books&amp;AN=01222990$&amp;XPATH=/PG(0)</v>
      </c>
      <c r="G270" s="2" t="s">
        <v>17</v>
      </c>
    </row>
    <row r="271" spans="1:7" x14ac:dyDescent="0.15">
      <c r="A271" s="2" t="s">
        <v>831</v>
      </c>
      <c r="B271" s="2" t="s">
        <v>832</v>
      </c>
      <c r="C271" s="2" t="s">
        <v>833</v>
      </c>
      <c r="D271" s="2" t="s">
        <v>10</v>
      </c>
      <c r="E271" s="2" t="s">
        <v>16</v>
      </c>
      <c r="F271" s="3" t="str">
        <f>HYPERLINK("http://ovidsp.ovid.com/ovidweb.cgi?T=JS&amp;NEWS=n&amp;CSC=Y&amp;PAGE=booktext&amp;D=books&amp;AN=01382543$&amp;XPATH=/PG(0)","http://ovidsp.ovid.com/ovidweb.cgi?T=JS&amp;NEWS=n&amp;CSC=Y&amp;PAGE=booktext&amp;D=books&amp;AN=01382543$&amp;XPATH=/PG(0)")</f>
        <v>http://ovidsp.ovid.com/ovidweb.cgi?T=JS&amp;NEWS=n&amp;CSC=Y&amp;PAGE=booktext&amp;D=books&amp;AN=01382543$&amp;XPATH=/PG(0)</v>
      </c>
      <c r="G271" s="2" t="s">
        <v>17</v>
      </c>
    </row>
    <row r="272" spans="1:7" x14ac:dyDescent="0.15">
      <c r="A272" s="2" t="s">
        <v>834</v>
      </c>
      <c r="B272" s="2" t="s">
        <v>835</v>
      </c>
      <c r="C272" s="2" t="s">
        <v>836</v>
      </c>
      <c r="D272" s="2" t="s">
        <v>10</v>
      </c>
      <c r="E272" s="2" t="s">
        <v>45</v>
      </c>
      <c r="F272" s="3" t="str">
        <f>HYPERLINK("http://ovidsp.ovid.com/ovidweb.cgi?T=JS&amp;NEWS=n&amp;CSC=Y&amp;PAGE=booktext&amp;D=books&amp;AN=01279741$&amp;XPATH=/PG(0)","http://ovidsp.ovid.com/ovidweb.cgi?T=JS&amp;NEWS=n&amp;CSC=Y&amp;PAGE=booktext&amp;D=books&amp;AN=01279741$&amp;XPATH=/PG(0)")</f>
        <v>http://ovidsp.ovid.com/ovidweb.cgi?T=JS&amp;NEWS=n&amp;CSC=Y&amp;PAGE=booktext&amp;D=books&amp;AN=01279741$&amp;XPATH=/PG(0)</v>
      </c>
      <c r="G272" s="2" t="s">
        <v>17</v>
      </c>
    </row>
    <row r="273" spans="1:7" x14ac:dyDescent="0.15">
      <c r="A273" s="2" t="s">
        <v>837</v>
      </c>
      <c r="B273" s="2" t="s">
        <v>838</v>
      </c>
      <c r="C273" s="2" t="s">
        <v>839</v>
      </c>
      <c r="D273" s="2" t="s">
        <v>10</v>
      </c>
      <c r="E273" s="2" t="s">
        <v>45</v>
      </c>
      <c r="F273" s="3" t="str">
        <f>HYPERLINK("http://ovidsp.ovid.com/ovidweb.cgi?T=JS&amp;NEWS=n&amp;CSC=Y&amp;PAGE=booktext&amp;D=books&amp;AN=01279742$&amp;XPATH=/PG(0)","http://ovidsp.ovid.com/ovidweb.cgi?T=JS&amp;NEWS=n&amp;CSC=Y&amp;PAGE=booktext&amp;D=books&amp;AN=01279742$&amp;XPATH=/PG(0)")</f>
        <v>http://ovidsp.ovid.com/ovidweb.cgi?T=JS&amp;NEWS=n&amp;CSC=Y&amp;PAGE=booktext&amp;D=books&amp;AN=01279742$&amp;XPATH=/PG(0)</v>
      </c>
      <c r="G273" s="2" t="s">
        <v>17</v>
      </c>
    </row>
    <row r="274" spans="1:7" x14ac:dyDescent="0.15">
      <c r="A274" s="2" t="s">
        <v>840</v>
      </c>
      <c r="B274" s="2" t="s">
        <v>841</v>
      </c>
      <c r="C274" s="2" t="s">
        <v>842</v>
      </c>
      <c r="D274" s="2" t="s">
        <v>10</v>
      </c>
      <c r="E274" s="2" t="s">
        <v>16</v>
      </c>
      <c r="F274" s="3" t="str">
        <f>HYPERLINK("http://ovidsp.ovid.com/ovidweb.cgi?T=JS&amp;NEWS=n&amp;CSC=Y&amp;PAGE=booktext&amp;D=books&amp;AN=01382544$&amp;XPATH=/PG(0)","http://ovidsp.ovid.com/ovidweb.cgi?T=JS&amp;NEWS=n&amp;CSC=Y&amp;PAGE=booktext&amp;D=books&amp;AN=01382544$&amp;XPATH=/PG(0)")</f>
        <v>http://ovidsp.ovid.com/ovidweb.cgi?T=JS&amp;NEWS=n&amp;CSC=Y&amp;PAGE=booktext&amp;D=books&amp;AN=01382544$&amp;XPATH=/PG(0)</v>
      </c>
      <c r="G274" s="2" t="s">
        <v>17</v>
      </c>
    </row>
    <row r="275" spans="1:7" x14ac:dyDescent="0.15">
      <c r="A275" s="2" t="s">
        <v>843</v>
      </c>
      <c r="B275" s="2" t="s">
        <v>844</v>
      </c>
      <c r="C275" s="2" t="s">
        <v>845</v>
      </c>
      <c r="D275" s="2" t="s">
        <v>10</v>
      </c>
      <c r="E275" s="2" t="s">
        <v>16</v>
      </c>
      <c r="F275" s="3" t="str">
        <f>HYPERLINK("http://ovidsp.ovid.com/ovidweb.cgi?T=JS&amp;NEWS=n&amp;CSC=Y&amp;PAGE=booktext&amp;D=books&amp;AN=01382553$&amp;XPATH=/PG(0)","http://ovidsp.ovid.com/ovidweb.cgi?T=JS&amp;NEWS=n&amp;CSC=Y&amp;PAGE=booktext&amp;D=books&amp;AN=01382553$&amp;XPATH=/PG(0)")</f>
        <v>http://ovidsp.ovid.com/ovidweb.cgi?T=JS&amp;NEWS=n&amp;CSC=Y&amp;PAGE=booktext&amp;D=books&amp;AN=01382553$&amp;XPATH=/PG(0)</v>
      </c>
      <c r="G275" s="2" t="s">
        <v>17</v>
      </c>
    </row>
    <row r="276" spans="1:7" x14ac:dyDescent="0.15">
      <c r="A276" s="2" t="s">
        <v>846</v>
      </c>
      <c r="B276" s="2" t="s">
        <v>847</v>
      </c>
      <c r="C276" s="2" t="s">
        <v>848</v>
      </c>
      <c r="D276" s="2" t="s">
        <v>10</v>
      </c>
      <c r="E276" s="2" t="s">
        <v>45</v>
      </c>
      <c r="F276" s="3" t="str">
        <f>HYPERLINK("http://ovidsp.ovid.com/ovidweb.cgi?T=JS&amp;NEWS=n&amp;CSC=Y&amp;PAGE=booktext&amp;D=books&amp;AN=01382545$&amp;XPATH=/PG(0)","http://ovidsp.ovid.com/ovidweb.cgi?T=JS&amp;NEWS=n&amp;CSC=Y&amp;PAGE=booktext&amp;D=books&amp;AN=01382545$&amp;XPATH=/PG(0)")</f>
        <v>http://ovidsp.ovid.com/ovidweb.cgi?T=JS&amp;NEWS=n&amp;CSC=Y&amp;PAGE=booktext&amp;D=books&amp;AN=01382545$&amp;XPATH=/PG(0)</v>
      </c>
      <c r="G276" s="2" t="s">
        <v>17</v>
      </c>
    </row>
    <row r="277" spans="1:7" x14ac:dyDescent="0.15">
      <c r="A277" s="2" t="s">
        <v>849</v>
      </c>
      <c r="B277" s="2" t="s">
        <v>850</v>
      </c>
      <c r="C277" s="2" t="s">
        <v>851</v>
      </c>
      <c r="D277" s="2" t="s">
        <v>10</v>
      </c>
      <c r="E277" s="2" t="s">
        <v>16</v>
      </c>
      <c r="F277" s="3" t="str">
        <f>HYPERLINK("http://ovidsp.ovid.com/ovidweb.cgi?T=JS&amp;NEWS=n&amp;CSC=Y&amp;PAGE=booktext&amp;D=books&amp;AN=01382546$&amp;XPATH=/PG(0)","http://ovidsp.ovid.com/ovidweb.cgi?T=JS&amp;NEWS=n&amp;CSC=Y&amp;PAGE=booktext&amp;D=books&amp;AN=01382546$&amp;XPATH=/PG(0)")</f>
        <v>http://ovidsp.ovid.com/ovidweb.cgi?T=JS&amp;NEWS=n&amp;CSC=Y&amp;PAGE=booktext&amp;D=books&amp;AN=01382546$&amp;XPATH=/PG(0)</v>
      </c>
      <c r="G277" s="2" t="s">
        <v>17</v>
      </c>
    </row>
    <row r="278" spans="1:7" x14ac:dyDescent="0.15">
      <c r="A278" s="2" t="s">
        <v>852</v>
      </c>
      <c r="B278" s="2" t="s">
        <v>853</v>
      </c>
      <c r="C278" s="2" t="s">
        <v>854</v>
      </c>
      <c r="D278" s="2" t="s">
        <v>10</v>
      </c>
      <c r="E278" s="2" t="s">
        <v>16</v>
      </c>
      <c r="F278" s="3" t="str">
        <f>HYPERLINK("http://ovidsp.ovid.com/ovidweb.cgi?T=JS&amp;NEWS=n&amp;CSC=Y&amp;PAGE=booktext&amp;D=books&amp;AN=01382547$&amp;XPATH=/PG(0)","http://ovidsp.ovid.com/ovidweb.cgi?T=JS&amp;NEWS=n&amp;CSC=Y&amp;PAGE=booktext&amp;D=books&amp;AN=01382547$&amp;XPATH=/PG(0)")</f>
        <v>http://ovidsp.ovid.com/ovidweb.cgi?T=JS&amp;NEWS=n&amp;CSC=Y&amp;PAGE=booktext&amp;D=books&amp;AN=01382547$&amp;XPATH=/PG(0)</v>
      </c>
      <c r="G278" s="2" t="s">
        <v>12</v>
      </c>
    </row>
    <row r="279" spans="1:7" x14ac:dyDescent="0.15">
      <c r="A279" s="2" t="s">
        <v>855</v>
      </c>
      <c r="B279" s="2" t="s">
        <v>856</v>
      </c>
      <c r="C279" s="2" t="s">
        <v>857</v>
      </c>
      <c r="D279" s="2" t="s">
        <v>10</v>
      </c>
      <c r="E279" s="2" t="s">
        <v>16</v>
      </c>
      <c r="F279" s="3" t="str">
        <f>HYPERLINK("http://ovidsp.ovid.com/ovidweb.cgi?T=JS&amp;NEWS=n&amp;CSC=Y&amp;PAGE=booktext&amp;D=books&amp;AN=00139920$&amp;XPATH=/PG(0)","http://ovidsp.ovid.com/ovidweb.cgi?T=JS&amp;NEWS=n&amp;CSC=Y&amp;PAGE=booktext&amp;D=books&amp;AN=00139920$&amp;XPATH=/PG(0)")</f>
        <v>http://ovidsp.ovid.com/ovidweb.cgi?T=JS&amp;NEWS=n&amp;CSC=Y&amp;PAGE=booktext&amp;D=books&amp;AN=00139920$&amp;XPATH=/PG(0)</v>
      </c>
      <c r="G279" s="2" t="s">
        <v>17</v>
      </c>
    </row>
    <row r="280" spans="1:7" x14ac:dyDescent="0.15">
      <c r="A280" s="2" t="s">
        <v>858</v>
      </c>
      <c r="B280" s="2" t="s">
        <v>859</v>
      </c>
      <c r="C280" s="2" t="s">
        <v>860</v>
      </c>
      <c r="D280" s="2" t="s">
        <v>10</v>
      </c>
      <c r="E280" s="2" t="s">
        <v>53</v>
      </c>
      <c r="F280" s="3" t="str">
        <f>HYPERLINK("http://ovidsp.ovid.com/ovidweb.cgi?T=JS&amp;NEWS=n&amp;CSC=Y&amp;PAGE=booktext&amp;D=books&amp;AN=00139921$&amp;XPATH=/PG(0)","http://ovidsp.ovid.com/ovidweb.cgi?T=JS&amp;NEWS=n&amp;CSC=Y&amp;PAGE=booktext&amp;D=books&amp;AN=00139921$&amp;XPATH=/PG(0)")</f>
        <v>http://ovidsp.ovid.com/ovidweb.cgi?T=JS&amp;NEWS=n&amp;CSC=Y&amp;PAGE=booktext&amp;D=books&amp;AN=00139921$&amp;XPATH=/PG(0)</v>
      </c>
      <c r="G280" s="2" t="s">
        <v>17</v>
      </c>
    </row>
    <row r="281" spans="1:7" x14ac:dyDescent="0.15">
      <c r="A281" s="2" t="s">
        <v>861</v>
      </c>
      <c r="B281" s="2" t="s">
        <v>862</v>
      </c>
      <c r="C281" s="2" t="s">
        <v>863</v>
      </c>
      <c r="D281" s="2" t="s">
        <v>10</v>
      </c>
      <c r="E281" s="2" t="s">
        <v>49</v>
      </c>
      <c r="F281" s="3" t="str">
        <f>HYPERLINK("http://ovidsp.ovid.com/ovidweb.cgi?T=JS&amp;NEWS=n&amp;CSC=Y&amp;PAGE=booktext&amp;D=books&amp;AN=00139923$&amp;XPATH=/PG(0)","http://ovidsp.ovid.com/ovidweb.cgi?T=JS&amp;NEWS=n&amp;CSC=Y&amp;PAGE=booktext&amp;D=books&amp;AN=00139923$&amp;XPATH=/PG(0)")</f>
        <v>http://ovidsp.ovid.com/ovidweb.cgi?T=JS&amp;NEWS=n&amp;CSC=Y&amp;PAGE=booktext&amp;D=books&amp;AN=00139923$&amp;XPATH=/PG(0)</v>
      </c>
      <c r="G281" s="2" t="s">
        <v>12</v>
      </c>
    </row>
    <row r="282" spans="1:7" x14ac:dyDescent="0.15">
      <c r="A282" s="2" t="s">
        <v>864</v>
      </c>
      <c r="B282" s="2" t="s">
        <v>865</v>
      </c>
      <c r="C282" s="2" t="s">
        <v>866</v>
      </c>
      <c r="D282" s="2" t="s">
        <v>10</v>
      </c>
      <c r="E282" s="2" t="s">
        <v>49</v>
      </c>
      <c r="F282" s="3" t="str">
        <f>HYPERLINK("http://ovidsp.ovid.com/ovidweb.cgi?T=JS&amp;NEWS=n&amp;CSC=Y&amp;PAGE=booktext&amp;D=books&amp;AN=01382749$&amp;XPATH=/PG(0)","http://ovidsp.ovid.com/ovidweb.cgi?T=JS&amp;NEWS=n&amp;CSC=Y&amp;PAGE=booktext&amp;D=books&amp;AN=01382749$&amp;XPATH=/PG(0)")</f>
        <v>http://ovidsp.ovid.com/ovidweb.cgi?T=JS&amp;NEWS=n&amp;CSC=Y&amp;PAGE=booktext&amp;D=books&amp;AN=01382749$&amp;XPATH=/PG(0)</v>
      </c>
      <c r="G282" s="2" t="s">
        <v>12</v>
      </c>
    </row>
    <row r="283" spans="1:7" x14ac:dyDescent="0.15">
      <c r="A283" s="2" t="s">
        <v>867</v>
      </c>
      <c r="B283" s="2" t="s">
        <v>868</v>
      </c>
      <c r="C283" s="2" t="s">
        <v>869</v>
      </c>
      <c r="D283" s="2" t="s">
        <v>10</v>
      </c>
      <c r="E283" s="2" t="s">
        <v>16</v>
      </c>
      <c r="F283" s="3" t="str">
        <f>HYPERLINK("http://ovidsp.ovid.com/ovidweb.cgi?T=JS&amp;NEWS=n&amp;CSC=Y&amp;PAGE=booktext&amp;D=books&amp;AN=01382867$&amp;XPATH=/PG(0)","http://ovidsp.ovid.com/ovidweb.cgi?T=JS&amp;NEWS=n&amp;CSC=Y&amp;PAGE=booktext&amp;D=books&amp;AN=01382867$&amp;XPATH=/PG(0)")</f>
        <v>http://ovidsp.ovid.com/ovidweb.cgi?T=JS&amp;NEWS=n&amp;CSC=Y&amp;PAGE=booktext&amp;D=books&amp;AN=01382867$&amp;XPATH=/PG(0)</v>
      </c>
      <c r="G283" s="2" t="s">
        <v>12</v>
      </c>
    </row>
    <row r="284" spans="1:7" x14ac:dyDescent="0.15">
      <c r="A284" s="2" t="s">
        <v>870</v>
      </c>
      <c r="B284" s="2" t="s">
        <v>871</v>
      </c>
      <c r="C284" s="2" t="s">
        <v>872</v>
      </c>
      <c r="D284" s="2" t="s">
        <v>10</v>
      </c>
      <c r="E284" s="2" t="s">
        <v>16</v>
      </c>
      <c r="F284" s="3" t="str">
        <f>HYPERLINK("http://ovidsp.ovid.com/ovidweb.cgi?T=JS&amp;NEWS=n&amp;CSC=Y&amp;PAGE=booktext&amp;D=books&amp;AN=01382854$&amp;XPATH=/PG(0)","http://ovidsp.ovid.com/ovidweb.cgi?T=JS&amp;NEWS=n&amp;CSC=Y&amp;PAGE=booktext&amp;D=books&amp;AN=01382854$&amp;XPATH=/PG(0)")</f>
        <v>http://ovidsp.ovid.com/ovidweb.cgi?T=JS&amp;NEWS=n&amp;CSC=Y&amp;PAGE=booktext&amp;D=books&amp;AN=01382854$&amp;XPATH=/PG(0)</v>
      </c>
      <c r="G284" s="2" t="s">
        <v>12</v>
      </c>
    </row>
    <row r="285" spans="1:7" x14ac:dyDescent="0.15">
      <c r="A285" s="2" t="s">
        <v>873</v>
      </c>
      <c r="B285" s="2" t="s">
        <v>874</v>
      </c>
      <c r="C285" s="2" t="s">
        <v>875</v>
      </c>
      <c r="D285" s="2" t="s">
        <v>10</v>
      </c>
      <c r="E285" s="2" t="s">
        <v>16</v>
      </c>
      <c r="F285" s="3" t="str">
        <f>HYPERLINK("http://ovidsp.ovid.com/ovidweb.cgi?T=JS&amp;NEWS=n&amp;CSC=Y&amp;PAGE=booktext&amp;D=books&amp;AN=01382548$&amp;XPATH=/PG(0)","http://ovidsp.ovid.com/ovidweb.cgi?T=JS&amp;NEWS=n&amp;CSC=Y&amp;PAGE=booktext&amp;D=books&amp;AN=01382548$&amp;XPATH=/PG(0)")</f>
        <v>http://ovidsp.ovid.com/ovidweb.cgi?T=JS&amp;NEWS=n&amp;CSC=Y&amp;PAGE=booktext&amp;D=books&amp;AN=01382548$&amp;XPATH=/PG(0)</v>
      </c>
      <c r="G285" s="2" t="s">
        <v>17</v>
      </c>
    </row>
    <row r="286" spans="1:7" x14ac:dyDescent="0.15">
      <c r="A286" s="2" t="s">
        <v>876</v>
      </c>
      <c r="B286" s="2" t="s">
        <v>877</v>
      </c>
      <c r="C286" s="2" t="s">
        <v>878</v>
      </c>
      <c r="D286" s="2" t="s">
        <v>10</v>
      </c>
      <c r="E286" s="2" t="s">
        <v>45</v>
      </c>
      <c r="F286" s="3" t="str">
        <f>HYPERLINK("http://ovidsp.ovid.com/ovidweb.cgi?T=JS&amp;NEWS=n&amp;CSC=Y&amp;PAGE=booktext&amp;D=books&amp;AN=01256966$&amp;XPATH=/PG(0)","http://ovidsp.ovid.com/ovidweb.cgi?T=JS&amp;NEWS=n&amp;CSC=Y&amp;PAGE=booktext&amp;D=books&amp;AN=01256966$&amp;XPATH=/PG(0)")</f>
        <v>http://ovidsp.ovid.com/ovidweb.cgi?T=JS&amp;NEWS=n&amp;CSC=Y&amp;PAGE=booktext&amp;D=books&amp;AN=01256966$&amp;XPATH=/PG(0)</v>
      </c>
      <c r="G286" s="2" t="s">
        <v>17</v>
      </c>
    </row>
    <row r="287" spans="1:7" x14ac:dyDescent="0.15">
      <c r="A287" s="2" t="s">
        <v>879</v>
      </c>
      <c r="B287" s="2" t="s">
        <v>880</v>
      </c>
      <c r="C287" s="2" t="s">
        <v>881</v>
      </c>
      <c r="D287" s="2" t="s">
        <v>10</v>
      </c>
      <c r="E287" s="2" t="s">
        <v>95</v>
      </c>
      <c r="F287" s="3" t="str">
        <f>HYPERLINK("http://ovidsp.ovid.com/ovidweb.cgi?T=JS&amp;NEWS=n&amp;CSC=Y&amp;PAGE=booktext&amp;D=books&amp;AN=01382550$&amp;XPATH=/PG(0)","http://ovidsp.ovid.com/ovidweb.cgi?T=JS&amp;NEWS=n&amp;CSC=Y&amp;PAGE=booktext&amp;D=books&amp;AN=01382550$&amp;XPATH=/PG(0)")</f>
        <v>http://ovidsp.ovid.com/ovidweb.cgi?T=JS&amp;NEWS=n&amp;CSC=Y&amp;PAGE=booktext&amp;D=books&amp;AN=01382550$&amp;XPATH=/PG(0)</v>
      </c>
      <c r="G287" s="2" t="s">
        <v>17</v>
      </c>
    </row>
    <row r="288" spans="1:7" x14ac:dyDescent="0.15">
      <c r="A288" s="2" t="s">
        <v>882</v>
      </c>
      <c r="B288" s="2" t="s">
        <v>883</v>
      </c>
      <c r="C288" s="2" t="s">
        <v>884</v>
      </c>
      <c r="D288" s="2" t="s">
        <v>10</v>
      </c>
      <c r="E288" s="2" t="s">
        <v>53</v>
      </c>
      <c r="F288" s="3" t="str">
        <f>HYPERLINK("http://ovidsp.ovid.com/ovidweb.cgi?T=JS&amp;NEWS=n&amp;CSC=Y&amp;PAGE=booktext&amp;D=books&amp;AN=00140029$&amp;XPATH=/PG(0)","http://ovidsp.ovid.com/ovidweb.cgi?T=JS&amp;NEWS=n&amp;CSC=Y&amp;PAGE=booktext&amp;D=books&amp;AN=00140029$&amp;XPATH=/PG(0)")</f>
        <v>http://ovidsp.ovid.com/ovidweb.cgi?T=JS&amp;NEWS=n&amp;CSC=Y&amp;PAGE=booktext&amp;D=books&amp;AN=00140029$&amp;XPATH=/PG(0)</v>
      </c>
      <c r="G288" s="2" t="s">
        <v>12</v>
      </c>
    </row>
    <row r="289" spans="1:7" x14ac:dyDescent="0.15">
      <c r="A289" s="2" t="s">
        <v>882</v>
      </c>
      <c r="B289" s="2" t="s">
        <v>885</v>
      </c>
      <c r="C289" s="2" t="s">
        <v>886</v>
      </c>
      <c r="D289" s="2" t="s">
        <v>10</v>
      </c>
      <c r="E289" s="2" t="s">
        <v>235</v>
      </c>
      <c r="F289" s="3" t="str">
        <f>HYPERLINK("http://ovidsp.ovid.com/ovidweb.cgi?T=JS&amp;NEWS=n&amp;CSC=Y&amp;PAGE=booktext&amp;D=books&amp;AN=01337289$&amp;XPATH=/PG(0)","http://ovidsp.ovid.com/ovidweb.cgi?T=JS&amp;NEWS=n&amp;CSC=Y&amp;PAGE=booktext&amp;D=books&amp;AN=01337289$&amp;XPATH=/PG(0)")</f>
        <v>http://ovidsp.ovid.com/ovidweb.cgi?T=JS&amp;NEWS=n&amp;CSC=Y&amp;PAGE=booktext&amp;D=books&amp;AN=01337289$&amp;XPATH=/PG(0)</v>
      </c>
      <c r="G289" s="2" t="s">
        <v>12</v>
      </c>
    </row>
    <row r="290" spans="1:7" x14ac:dyDescent="0.15">
      <c r="A290" s="2" t="s">
        <v>887</v>
      </c>
      <c r="B290" s="2" t="s">
        <v>888</v>
      </c>
      <c r="C290" s="2" t="s">
        <v>889</v>
      </c>
      <c r="D290" s="2" t="s">
        <v>10</v>
      </c>
      <c r="E290" s="2" t="s">
        <v>95</v>
      </c>
      <c r="F290" s="3" t="str">
        <f>HYPERLINK("http://ovidsp.ovid.com/ovidweb.cgi?T=JS&amp;NEWS=n&amp;CSC=Y&amp;PAGE=booktext&amp;D=books&amp;AN=01256967$&amp;XPATH=/PG(0)","http://ovidsp.ovid.com/ovidweb.cgi?T=JS&amp;NEWS=n&amp;CSC=Y&amp;PAGE=booktext&amp;D=books&amp;AN=01256967$&amp;XPATH=/PG(0)")</f>
        <v>http://ovidsp.ovid.com/ovidweb.cgi?T=JS&amp;NEWS=n&amp;CSC=Y&amp;PAGE=booktext&amp;D=books&amp;AN=01256967$&amp;XPATH=/PG(0)</v>
      </c>
      <c r="G290" s="2" t="s">
        <v>17</v>
      </c>
    </row>
    <row r="291" spans="1:7" x14ac:dyDescent="0.15">
      <c r="A291" s="2" t="s">
        <v>890</v>
      </c>
      <c r="B291" s="2" t="s">
        <v>891</v>
      </c>
      <c r="C291" s="2" t="s">
        <v>892</v>
      </c>
      <c r="D291" s="2" t="s">
        <v>10</v>
      </c>
      <c r="E291" s="2" t="s">
        <v>16</v>
      </c>
      <c r="F291" s="3" t="str">
        <f>HYPERLINK("http://ovidsp.ovid.com/ovidweb.cgi?T=JS&amp;NEWS=n&amp;CSC=Y&amp;PAGE=booktext&amp;D=books&amp;AN=01382814$&amp;XPATH=/PG(0)","http://ovidsp.ovid.com/ovidweb.cgi?T=JS&amp;NEWS=n&amp;CSC=Y&amp;PAGE=booktext&amp;D=books&amp;AN=01382814$&amp;XPATH=/PG(0)")</f>
        <v>http://ovidsp.ovid.com/ovidweb.cgi?T=JS&amp;NEWS=n&amp;CSC=Y&amp;PAGE=booktext&amp;D=books&amp;AN=01382814$&amp;XPATH=/PG(0)</v>
      </c>
      <c r="G291" s="2" t="s">
        <v>12</v>
      </c>
    </row>
    <row r="292" spans="1:7" x14ac:dyDescent="0.15">
      <c r="A292" s="2" t="s">
        <v>893</v>
      </c>
      <c r="B292" s="2" t="s">
        <v>894</v>
      </c>
      <c r="C292" s="2" t="s">
        <v>895</v>
      </c>
      <c r="D292" s="2" t="s">
        <v>10</v>
      </c>
      <c r="E292" s="2" t="s">
        <v>16</v>
      </c>
      <c r="F292" s="3" t="str">
        <f>HYPERLINK("http://ovidsp.ovid.com/ovidweb.cgi?T=JS&amp;NEWS=n&amp;CSC=Y&amp;PAGE=booktext&amp;D=books&amp;AN=01279743$&amp;XPATH=/PG(0)","http://ovidsp.ovid.com/ovidweb.cgi?T=JS&amp;NEWS=n&amp;CSC=Y&amp;PAGE=booktext&amp;D=books&amp;AN=01279743$&amp;XPATH=/PG(0)")</f>
        <v>http://ovidsp.ovid.com/ovidweb.cgi?T=JS&amp;NEWS=n&amp;CSC=Y&amp;PAGE=booktext&amp;D=books&amp;AN=01279743$&amp;XPATH=/PG(0)</v>
      </c>
      <c r="G292" s="2" t="s">
        <v>17</v>
      </c>
    </row>
    <row r="293" spans="1:7" x14ac:dyDescent="0.15">
      <c r="A293" s="2" t="s">
        <v>896</v>
      </c>
      <c r="B293" s="2" t="s">
        <v>897</v>
      </c>
      <c r="C293" s="2" t="s">
        <v>898</v>
      </c>
      <c r="D293" s="2" t="s">
        <v>10</v>
      </c>
      <c r="E293" s="2" t="s">
        <v>49</v>
      </c>
      <c r="F293" s="3" t="str">
        <f>HYPERLINK("http://ovidsp.ovid.com/ovidweb.cgi?T=JS&amp;NEWS=n&amp;CSC=Y&amp;PAGE=booktext&amp;D=books&amp;AN=01382655$&amp;XPATH=/PG(0)","http://ovidsp.ovid.com/ovidweb.cgi?T=JS&amp;NEWS=n&amp;CSC=Y&amp;PAGE=booktext&amp;D=books&amp;AN=01382655$&amp;XPATH=/PG(0)")</f>
        <v>http://ovidsp.ovid.com/ovidweb.cgi?T=JS&amp;NEWS=n&amp;CSC=Y&amp;PAGE=booktext&amp;D=books&amp;AN=01382655$&amp;XPATH=/PG(0)</v>
      </c>
      <c r="G293" s="2" t="s">
        <v>17</v>
      </c>
    </row>
    <row r="294" spans="1:7" x14ac:dyDescent="0.15">
      <c r="A294" s="2" t="s">
        <v>899</v>
      </c>
      <c r="B294" s="2" t="s">
        <v>900</v>
      </c>
      <c r="C294" s="2" t="s">
        <v>901</v>
      </c>
      <c r="D294" s="2" t="s">
        <v>10</v>
      </c>
      <c r="E294" s="2" t="s">
        <v>16</v>
      </c>
      <c r="F294" s="3" t="str">
        <f>HYPERLINK("http://ovidsp.ovid.com/ovidweb.cgi?T=JS&amp;NEWS=n&amp;CSC=Y&amp;PAGE=booktext&amp;D=books&amp;AN=01279703$&amp;XPATH=/PG(0)","http://ovidsp.ovid.com/ovidweb.cgi?T=JS&amp;NEWS=n&amp;CSC=Y&amp;PAGE=booktext&amp;D=books&amp;AN=01279703$&amp;XPATH=/PG(0)")</f>
        <v>http://ovidsp.ovid.com/ovidweb.cgi?T=JS&amp;NEWS=n&amp;CSC=Y&amp;PAGE=booktext&amp;D=books&amp;AN=01279703$&amp;XPATH=/PG(0)</v>
      </c>
      <c r="G294" s="2" t="s">
        <v>17</v>
      </c>
    </row>
    <row r="295" spans="1:7" x14ac:dyDescent="0.15">
      <c r="A295" s="2" t="s">
        <v>902</v>
      </c>
      <c r="B295" s="2" t="s">
        <v>903</v>
      </c>
      <c r="C295" s="2" t="s">
        <v>904</v>
      </c>
      <c r="D295" s="2" t="s">
        <v>10</v>
      </c>
      <c r="E295" s="2" t="s">
        <v>16</v>
      </c>
      <c r="F295" s="3" t="str">
        <f>HYPERLINK("http://ovidsp.ovid.com/ovidweb.cgi?T=JS&amp;NEWS=n&amp;CSC=Y&amp;PAGE=booktext&amp;D=books&amp;AN=00149843$&amp;XPATH=/PG(0)","http://ovidsp.ovid.com/ovidweb.cgi?T=JS&amp;NEWS=n&amp;CSC=Y&amp;PAGE=booktext&amp;D=books&amp;AN=00149843$&amp;XPATH=/PG(0)")</f>
        <v>http://ovidsp.ovid.com/ovidweb.cgi?T=JS&amp;NEWS=n&amp;CSC=Y&amp;PAGE=booktext&amp;D=books&amp;AN=00149843$&amp;XPATH=/PG(0)</v>
      </c>
      <c r="G295" s="2" t="s">
        <v>12</v>
      </c>
    </row>
    <row r="296" spans="1:7" x14ac:dyDescent="0.15">
      <c r="A296" s="2" t="s">
        <v>905</v>
      </c>
      <c r="B296" s="2" t="s">
        <v>906</v>
      </c>
      <c r="C296" s="2" t="s">
        <v>907</v>
      </c>
      <c r="D296" s="2" t="s">
        <v>10</v>
      </c>
      <c r="E296" s="2" t="s">
        <v>235</v>
      </c>
      <c r="F296" s="3" t="str">
        <f>HYPERLINK("http://ovidsp.ovid.com/ovidweb.cgi?T=JS&amp;NEWS=n&amp;CSC=Y&amp;PAGE=booktext&amp;D=books&amp;AN=01222991$&amp;XPATH=/PG(0)","http://ovidsp.ovid.com/ovidweb.cgi?T=JS&amp;NEWS=n&amp;CSC=Y&amp;PAGE=booktext&amp;D=books&amp;AN=01222991$&amp;XPATH=/PG(0)")</f>
        <v>http://ovidsp.ovid.com/ovidweb.cgi?T=JS&amp;NEWS=n&amp;CSC=Y&amp;PAGE=booktext&amp;D=books&amp;AN=01222991$&amp;XPATH=/PG(0)</v>
      </c>
      <c r="G296" s="2" t="s">
        <v>17</v>
      </c>
    </row>
    <row r="297" spans="1:7" x14ac:dyDescent="0.15">
      <c r="A297" s="2" t="s">
        <v>908</v>
      </c>
      <c r="B297" s="2" t="s">
        <v>909</v>
      </c>
      <c r="C297" s="2" t="s">
        <v>910</v>
      </c>
      <c r="D297" s="2" t="s">
        <v>10</v>
      </c>
      <c r="E297" s="2" t="s">
        <v>16</v>
      </c>
      <c r="F297" s="3" t="str">
        <f>HYPERLINK("http://ovidsp.ovid.com/ovidweb.cgi?T=JS&amp;NEWS=n&amp;CSC=Y&amp;PAGE=booktext&amp;D=books&amp;AN=01382552$&amp;XPATH=/PG(0)","http://ovidsp.ovid.com/ovidweb.cgi?T=JS&amp;NEWS=n&amp;CSC=Y&amp;PAGE=booktext&amp;D=books&amp;AN=01382552$&amp;XPATH=/PG(0)")</f>
        <v>http://ovidsp.ovid.com/ovidweb.cgi?T=JS&amp;NEWS=n&amp;CSC=Y&amp;PAGE=booktext&amp;D=books&amp;AN=01382552$&amp;XPATH=/PG(0)</v>
      </c>
      <c r="G297" s="2" t="s">
        <v>17</v>
      </c>
    </row>
    <row r="298" spans="1:7" x14ac:dyDescent="0.15">
      <c r="A298" s="2" t="s">
        <v>911</v>
      </c>
      <c r="B298" s="2" t="s">
        <v>912</v>
      </c>
      <c r="C298" s="2" t="s">
        <v>913</v>
      </c>
      <c r="D298" s="2" t="s">
        <v>10</v>
      </c>
      <c r="E298" s="2" t="s">
        <v>45</v>
      </c>
      <c r="F298" s="3" t="str">
        <f>HYPERLINK("http://ovidsp.ovid.com/ovidweb.cgi?T=JS&amp;NEWS=n&amp;CSC=Y&amp;PAGE=booktext&amp;D=books&amp;AN=01382555$&amp;XPATH=/PG(0)","http://ovidsp.ovid.com/ovidweb.cgi?T=JS&amp;NEWS=n&amp;CSC=Y&amp;PAGE=booktext&amp;D=books&amp;AN=01382555$&amp;XPATH=/PG(0)")</f>
        <v>http://ovidsp.ovid.com/ovidweb.cgi?T=JS&amp;NEWS=n&amp;CSC=Y&amp;PAGE=booktext&amp;D=books&amp;AN=01382555$&amp;XPATH=/PG(0)</v>
      </c>
      <c r="G298" s="2" t="s">
        <v>12</v>
      </c>
    </row>
    <row r="299" spans="1:7" x14ac:dyDescent="0.15">
      <c r="A299" s="2" t="s">
        <v>914</v>
      </c>
      <c r="B299" s="2" t="s">
        <v>915</v>
      </c>
      <c r="C299" s="2" t="s">
        <v>916</v>
      </c>
      <c r="D299" s="2" t="s">
        <v>10</v>
      </c>
      <c r="E299" s="2" t="s">
        <v>235</v>
      </c>
      <c r="F299" s="3" t="str">
        <f>HYPERLINK("http://ovidsp.ovid.com/ovidweb.cgi?T=JS&amp;NEWS=n&amp;CSC=Y&amp;PAGE=booktext&amp;D=books&amp;AN=01222992$&amp;XPATH=/PG(0)","http://ovidsp.ovid.com/ovidweb.cgi?T=JS&amp;NEWS=n&amp;CSC=Y&amp;PAGE=booktext&amp;D=books&amp;AN=01222992$&amp;XPATH=/PG(0)")</f>
        <v>http://ovidsp.ovid.com/ovidweb.cgi?T=JS&amp;NEWS=n&amp;CSC=Y&amp;PAGE=booktext&amp;D=books&amp;AN=01222992$&amp;XPATH=/PG(0)</v>
      </c>
      <c r="G299" s="2" t="s">
        <v>17</v>
      </c>
    </row>
    <row r="300" spans="1:7" x14ac:dyDescent="0.15">
      <c r="A300" s="2" t="s">
        <v>917</v>
      </c>
      <c r="B300" s="2" t="s">
        <v>918</v>
      </c>
      <c r="C300" s="2" t="s">
        <v>919</v>
      </c>
      <c r="D300" s="2" t="s">
        <v>10</v>
      </c>
      <c r="E300" s="2" t="s">
        <v>16</v>
      </c>
      <c r="F300" s="3" t="str">
        <f>HYPERLINK("http://ovidsp.ovid.com/ovidweb.cgi?T=JS&amp;NEWS=n&amp;CSC=Y&amp;PAGE=booktext&amp;D=books&amp;AN=01382557$&amp;XPATH=/PG(0)","http://ovidsp.ovid.com/ovidweb.cgi?T=JS&amp;NEWS=n&amp;CSC=Y&amp;PAGE=booktext&amp;D=books&amp;AN=01382557$&amp;XPATH=/PG(0)")</f>
        <v>http://ovidsp.ovid.com/ovidweb.cgi?T=JS&amp;NEWS=n&amp;CSC=Y&amp;PAGE=booktext&amp;D=books&amp;AN=01382557$&amp;XPATH=/PG(0)</v>
      </c>
      <c r="G300" s="2" t="s">
        <v>17</v>
      </c>
    </row>
    <row r="301" spans="1:7" x14ac:dyDescent="0.15">
      <c r="A301" s="2" t="s">
        <v>920</v>
      </c>
      <c r="B301" s="2" t="s">
        <v>921</v>
      </c>
      <c r="C301" s="2" t="s">
        <v>922</v>
      </c>
      <c r="D301" s="2" t="s">
        <v>10</v>
      </c>
      <c r="E301" s="2" t="s">
        <v>235</v>
      </c>
      <c r="F301" s="3" t="str">
        <f>HYPERLINK("http://ovidsp.ovid.com/ovidweb.cgi?T=JS&amp;NEWS=n&amp;CSC=Y&amp;PAGE=booktext&amp;D=books&amp;AN=00140030$&amp;XPATH=/PG(0)","http://ovidsp.ovid.com/ovidweb.cgi?T=JS&amp;NEWS=n&amp;CSC=Y&amp;PAGE=booktext&amp;D=books&amp;AN=00140030$&amp;XPATH=/PG(0)")</f>
        <v>http://ovidsp.ovid.com/ovidweb.cgi?T=JS&amp;NEWS=n&amp;CSC=Y&amp;PAGE=booktext&amp;D=books&amp;AN=00140030$&amp;XPATH=/PG(0)</v>
      </c>
      <c r="G301" s="2" t="s">
        <v>17</v>
      </c>
    </row>
    <row r="302" spans="1:7" x14ac:dyDescent="0.15">
      <c r="A302" s="2" t="s">
        <v>923</v>
      </c>
      <c r="B302" s="2" t="s">
        <v>924</v>
      </c>
      <c r="C302" s="2" t="s">
        <v>925</v>
      </c>
      <c r="D302" s="2" t="s">
        <v>10</v>
      </c>
      <c r="E302" s="2" t="s">
        <v>95</v>
      </c>
      <c r="F302" s="3" t="str">
        <f>HYPERLINK("http://ovidsp.ovid.com/ovidweb.cgi?T=JS&amp;NEWS=n&amp;CSC=Y&amp;PAGE=booktext&amp;D=books&amp;AN=01337291$&amp;XPATH=/PG(0)","http://ovidsp.ovid.com/ovidweb.cgi?T=JS&amp;NEWS=n&amp;CSC=Y&amp;PAGE=booktext&amp;D=books&amp;AN=01337291$&amp;XPATH=/PG(0)")</f>
        <v>http://ovidsp.ovid.com/ovidweb.cgi?T=JS&amp;NEWS=n&amp;CSC=Y&amp;PAGE=booktext&amp;D=books&amp;AN=01337291$&amp;XPATH=/PG(0)</v>
      </c>
      <c r="G302" s="2" t="s">
        <v>17</v>
      </c>
    </row>
    <row r="303" spans="1:7" x14ac:dyDescent="0.15">
      <c r="A303" s="2" t="s">
        <v>926</v>
      </c>
      <c r="B303" s="2" t="s">
        <v>927</v>
      </c>
      <c r="C303" s="2" t="s">
        <v>928</v>
      </c>
      <c r="D303" s="2" t="s">
        <v>10</v>
      </c>
      <c r="E303" s="2" t="s">
        <v>235</v>
      </c>
      <c r="F303" s="3" t="str">
        <f>HYPERLINK("http://ovidsp.ovid.com/ovidweb.cgi?T=JS&amp;NEWS=n&amp;CSC=Y&amp;PAGE=booktext&amp;D=books&amp;AN=01222993$&amp;XPATH=/PG(0)","http://ovidsp.ovid.com/ovidweb.cgi?T=JS&amp;NEWS=n&amp;CSC=Y&amp;PAGE=booktext&amp;D=books&amp;AN=01222993$&amp;XPATH=/PG(0)")</f>
        <v>http://ovidsp.ovid.com/ovidweb.cgi?T=JS&amp;NEWS=n&amp;CSC=Y&amp;PAGE=booktext&amp;D=books&amp;AN=01222993$&amp;XPATH=/PG(0)</v>
      </c>
      <c r="G303" s="2" t="s">
        <v>17</v>
      </c>
    </row>
    <row r="304" spans="1:7" x14ac:dyDescent="0.15">
      <c r="A304" s="2" t="s">
        <v>929</v>
      </c>
      <c r="B304" s="2" t="s">
        <v>930</v>
      </c>
      <c r="C304" s="2" t="s">
        <v>931</v>
      </c>
      <c r="D304" s="2" t="s">
        <v>10</v>
      </c>
      <c r="E304" s="2" t="s">
        <v>16</v>
      </c>
      <c r="F304" s="3" t="str">
        <f>HYPERLINK("http://ovidsp.ovid.com/ovidweb.cgi?T=JS&amp;NEWS=n&amp;CSC=Y&amp;PAGE=booktext&amp;D=books&amp;AN=01382433$&amp;XPATH=/PG(0)","http://ovidsp.ovid.com/ovidweb.cgi?T=JS&amp;NEWS=n&amp;CSC=Y&amp;PAGE=booktext&amp;D=books&amp;AN=01382433$&amp;XPATH=/PG(0)")</f>
        <v>http://ovidsp.ovid.com/ovidweb.cgi?T=JS&amp;NEWS=n&amp;CSC=Y&amp;PAGE=booktext&amp;D=books&amp;AN=01382433$&amp;XPATH=/PG(0)</v>
      </c>
      <c r="G304" s="2" t="s">
        <v>17</v>
      </c>
    </row>
    <row r="305" spans="1:7" x14ac:dyDescent="0.15">
      <c r="A305" s="2" t="s">
        <v>932</v>
      </c>
      <c r="B305" s="2" t="s">
        <v>933</v>
      </c>
      <c r="C305" s="2" t="s">
        <v>934</v>
      </c>
      <c r="D305" s="2" t="s">
        <v>10</v>
      </c>
      <c r="E305" s="2" t="s">
        <v>49</v>
      </c>
      <c r="F305" s="3" t="str">
        <f>HYPERLINK("http://ovidsp.ovid.com/ovidweb.cgi?T=JS&amp;NEWS=n&amp;CSC=Y&amp;PAGE=booktext&amp;D=books&amp;AN=00140010$&amp;XPATH=/PG(0)","http://ovidsp.ovid.com/ovidweb.cgi?T=JS&amp;NEWS=n&amp;CSC=Y&amp;PAGE=booktext&amp;D=books&amp;AN=00140010$&amp;XPATH=/PG(0)")</f>
        <v>http://ovidsp.ovid.com/ovidweb.cgi?T=JS&amp;NEWS=n&amp;CSC=Y&amp;PAGE=booktext&amp;D=books&amp;AN=00140010$&amp;XPATH=/PG(0)</v>
      </c>
      <c r="G305" s="2" t="s">
        <v>17</v>
      </c>
    </row>
    <row r="306" spans="1:7" x14ac:dyDescent="0.15">
      <c r="A306" s="2" t="s">
        <v>935</v>
      </c>
      <c r="B306" s="2" t="s">
        <v>936</v>
      </c>
      <c r="C306" s="2" t="s">
        <v>937</v>
      </c>
      <c r="D306" s="2" t="s">
        <v>10</v>
      </c>
      <c r="E306" s="2" t="s">
        <v>251</v>
      </c>
      <c r="F306" s="3" t="str">
        <f>HYPERLINK("http://ovidsp.ovid.com/ovidweb.cgi?T=JS&amp;NEWS=n&amp;CSC=Y&amp;PAGE=booktext&amp;D=books&amp;AN=00139925$&amp;XPATH=/PG(0)","http://ovidsp.ovid.com/ovidweb.cgi?T=JS&amp;NEWS=n&amp;CSC=Y&amp;PAGE=booktext&amp;D=books&amp;AN=00139925$&amp;XPATH=/PG(0)")</f>
        <v>http://ovidsp.ovid.com/ovidweb.cgi?T=JS&amp;NEWS=n&amp;CSC=Y&amp;PAGE=booktext&amp;D=books&amp;AN=00139925$&amp;XPATH=/PG(0)</v>
      </c>
      <c r="G306" s="2" t="s">
        <v>17</v>
      </c>
    </row>
    <row r="307" spans="1:7" x14ac:dyDescent="0.15">
      <c r="A307" s="2" t="s">
        <v>938</v>
      </c>
      <c r="B307" s="2" t="s">
        <v>939</v>
      </c>
      <c r="C307" s="2" t="s">
        <v>940</v>
      </c>
      <c r="D307" s="2" t="s">
        <v>10</v>
      </c>
      <c r="E307" s="2" t="s">
        <v>16</v>
      </c>
      <c r="F307" s="3" t="str">
        <f>HYPERLINK("http://ovidsp.ovid.com/ovidweb.cgi?T=JS&amp;NEWS=n&amp;CSC=Y&amp;PAGE=booktext&amp;D=books&amp;AN=01279766$&amp;XPATH=/PG(0)","http://ovidsp.ovid.com/ovidweb.cgi?T=JS&amp;NEWS=n&amp;CSC=Y&amp;PAGE=booktext&amp;D=books&amp;AN=01279766$&amp;XPATH=/PG(0)")</f>
        <v>http://ovidsp.ovid.com/ovidweb.cgi?T=JS&amp;NEWS=n&amp;CSC=Y&amp;PAGE=booktext&amp;D=books&amp;AN=01279766$&amp;XPATH=/PG(0)</v>
      </c>
      <c r="G307" s="2" t="s">
        <v>17</v>
      </c>
    </row>
    <row r="308" spans="1:7" x14ac:dyDescent="0.15">
      <c r="A308" s="2" t="s">
        <v>941</v>
      </c>
      <c r="B308" s="2" t="s">
        <v>942</v>
      </c>
      <c r="C308" s="2" t="s">
        <v>943</v>
      </c>
      <c r="D308" s="2" t="s">
        <v>10</v>
      </c>
      <c r="E308" s="2" t="s">
        <v>16</v>
      </c>
      <c r="F308" s="3" t="str">
        <f>HYPERLINK("http://ovidsp.ovid.com/ovidweb.cgi?T=JS&amp;NEWS=n&amp;CSC=Y&amp;PAGE=booktext&amp;D=books&amp;AN=01337530$&amp;XPATH=/PG(0)","http://ovidsp.ovid.com/ovidweb.cgi?T=JS&amp;NEWS=n&amp;CSC=Y&amp;PAGE=booktext&amp;D=books&amp;AN=01337530$&amp;XPATH=/PG(0)")</f>
        <v>http://ovidsp.ovid.com/ovidweb.cgi?T=JS&amp;NEWS=n&amp;CSC=Y&amp;PAGE=booktext&amp;D=books&amp;AN=01337530$&amp;XPATH=/PG(0)</v>
      </c>
      <c r="G308" s="2" t="s">
        <v>17</v>
      </c>
    </row>
    <row r="309" spans="1:7" x14ac:dyDescent="0.15">
      <c r="A309" s="2" t="s">
        <v>944</v>
      </c>
      <c r="B309" s="2" t="s">
        <v>945</v>
      </c>
      <c r="C309" s="2" t="s">
        <v>946</v>
      </c>
      <c r="D309" s="2" t="s">
        <v>10</v>
      </c>
      <c r="E309" s="2" t="s">
        <v>16</v>
      </c>
      <c r="F309" s="3" t="str">
        <f>HYPERLINK("http://ovidsp.ovid.com/ovidweb.cgi?T=JS&amp;NEWS=n&amp;CSC=Y&amp;PAGE=booktext&amp;D=books&amp;AN=01257020$&amp;XPATH=/PG(0)","http://ovidsp.ovid.com/ovidweb.cgi?T=JS&amp;NEWS=n&amp;CSC=Y&amp;PAGE=booktext&amp;D=books&amp;AN=01257020$&amp;XPATH=/PG(0)")</f>
        <v>http://ovidsp.ovid.com/ovidweb.cgi?T=JS&amp;NEWS=n&amp;CSC=Y&amp;PAGE=booktext&amp;D=books&amp;AN=01257020$&amp;XPATH=/PG(0)</v>
      </c>
      <c r="G309" s="2" t="s">
        <v>17</v>
      </c>
    </row>
    <row r="310" spans="1:7" x14ac:dyDescent="0.15">
      <c r="A310" s="2" t="s">
        <v>947</v>
      </c>
      <c r="B310" s="2" t="s">
        <v>948</v>
      </c>
      <c r="C310" s="2" t="s">
        <v>949</v>
      </c>
      <c r="D310" s="2" t="s">
        <v>10</v>
      </c>
      <c r="E310" s="2" t="s">
        <v>16</v>
      </c>
      <c r="F310" s="3" t="str">
        <f>HYPERLINK("http://ovidsp.ovid.com/ovidweb.cgi?T=JS&amp;NEWS=n&amp;CSC=Y&amp;PAGE=booktext&amp;D=books&amp;AN=01382535$&amp;XPATH=/PG(0)","http://ovidsp.ovid.com/ovidweb.cgi?T=JS&amp;NEWS=n&amp;CSC=Y&amp;PAGE=booktext&amp;D=books&amp;AN=01382535$&amp;XPATH=/PG(0)")</f>
        <v>http://ovidsp.ovid.com/ovidweb.cgi?T=JS&amp;NEWS=n&amp;CSC=Y&amp;PAGE=booktext&amp;D=books&amp;AN=01382535$&amp;XPATH=/PG(0)</v>
      </c>
      <c r="G310" s="2" t="s">
        <v>17</v>
      </c>
    </row>
    <row r="311" spans="1:7" x14ac:dyDescent="0.15">
      <c r="A311" s="2" t="s">
        <v>950</v>
      </c>
      <c r="B311" s="2" t="s">
        <v>951</v>
      </c>
      <c r="C311" s="2" t="s">
        <v>952</v>
      </c>
      <c r="D311" s="2" t="s">
        <v>10</v>
      </c>
      <c r="E311" s="2" t="s">
        <v>16</v>
      </c>
      <c r="F311" s="3" t="str">
        <f>HYPERLINK("http://ovidsp.ovid.com/ovidweb.cgi?T=JS&amp;NEWS=n&amp;CSC=Y&amp;PAGE=booktext&amp;D=books&amp;AN=01222994$&amp;XPATH=/PG(0)","http://ovidsp.ovid.com/ovidweb.cgi?T=JS&amp;NEWS=n&amp;CSC=Y&amp;PAGE=booktext&amp;D=books&amp;AN=01222994$&amp;XPATH=/PG(0)")</f>
        <v>http://ovidsp.ovid.com/ovidweb.cgi?T=JS&amp;NEWS=n&amp;CSC=Y&amp;PAGE=booktext&amp;D=books&amp;AN=01222994$&amp;XPATH=/PG(0)</v>
      </c>
      <c r="G311" s="2" t="s">
        <v>17</v>
      </c>
    </row>
    <row r="312" spans="1:7" x14ac:dyDescent="0.15">
      <c r="A312" s="2" t="s">
        <v>953</v>
      </c>
      <c r="B312" s="2" t="s">
        <v>954</v>
      </c>
      <c r="C312" s="2" t="s">
        <v>955</v>
      </c>
      <c r="D312" s="2" t="s">
        <v>10</v>
      </c>
      <c r="E312" s="2" t="s">
        <v>16</v>
      </c>
      <c r="F312" s="3" t="str">
        <f>HYPERLINK("http://ovidsp.ovid.com/ovidweb.cgi?T=JS&amp;NEWS=n&amp;CSC=Y&amp;PAGE=booktext&amp;D=books&amp;AN=01337531$&amp;XPATH=/PG(0)","http://ovidsp.ovid.com/ovidweb.cgi?T=JS&amp;NEWS=n&amp;CSC=Y&amp;PAGE=booktext&amp;D=books&amp;AN=01337531$&amp;XPATH=/PG(0)")</f>
        <v>http://ovidsp.ovid.com/ovidweb.cgi?T=JS&amp;NEWS=n&amp;CSC=Y&amp;PAGE=booktext&amp;D=books&amp;AN=01337531$&amp;XPATH=/PG(0)</v>
      </c>
      <c r="G312" s="2" t="s">
        <v>17</v>
      </c>
    </row>
    <row r="313" spans="1:7" x14ac:dyDescent="0.15">
      <c r="A313" s="2" t="s">
        <v>956</v>
      </c>
      <c r="B313" s="2" t="s">
        <v>957</v>
      </c>
      <c r="C313" s="2" t="s">
        <v>958</v>
      </c>
      <c r="D313" s="2" t="s">
        <v>10</v>
      </c>
      <c r="E313" s="2" t="s">
        <v>251</v>
      </c>
      <c r="F313" s="3" t="str">
        <f>HYPERLINK("http://ovidsp.ovid.com/ovidweb.cgi?T=JS&amp;NEWS=n&amp;CSC=Y&amp;PAGE=booktext&amp;D=books&amp;AN=01279704$&amp;XPATH=/PG(0)","http://ovidsp.ovid.com/ovidweb.cgi?T=JS&amp;NEWS=n&amp;CSC=Y&amp;PAGE=booktext&amp;D=books&amp;AN=01279704$&amp;XPATH=/PG(0)")</f>
        <v>http://ovidsp.ovid.com/ovidweb.cgi?T=JS&amp;NEWS=n&amp;CSC=Y&amp;PAGE=booktext&amp;D=books&amp;AN=01279704$&amp;XPATH=/PG(0)</v>
      </c>
      <c r="G313" s="2" t="s">
        <v>17</v>
      </c>
    </row>
    <row r="314" spans="1:7" x14ac:dyDescent="0.15">
      <c r="A314" s="2" t="s">
        <v>959</v>
      </c>
      <c r="B314" s="2" t="s">
        <v>960</v>
      </c>
      <c r="C314" s="2" t="s">
        <v>961</v>
      </c>
      <c r="D314" s="2" t="s">
        <v>10</v>
      </c>
      <c r="E314" s="2" t="s">
        <v>16</v>
      </c>
      <c r="F314" s="3" t="str">
        <f>HYPERLINK("http://ovidsp.ovid.com/ovidweb.cgi?T=JS&amp;NEWS=n&amp;CSC=Y&amp;PAGE=booktext&amp;D=books&amp;AN=01279705$&amp;XPATH=/PG(0)","http://ovidsp.ovid.com/ovidweb.cgi?T=JS&amp;NEWS=n&amp;CSC=Y&amp;PAGE=booktext&amp;D=books&amp;AN=01279705$&amp;XPATH=/PG(0)")</f>
        <v>http://ovidsp.ovid.com/ovidweb.cgi?T=JS&amp;NEWS=n&amp;CSC=Y&amp;PAGE=booktext&amp;D=books&amp;AN=01279705$&amp;XPATH=/PG(0)</v>
      </c>
      <c r="G314" s="2" t="s">
        <v>12</v>
      </c>
    </row>
    <row r="315" spans="1:7" x14ac:dyDescent="0.15">
      <c r="A315" s="2" t="s">
        <v>962</v>
      </c>
      <c r="B315" s="2" t="s">
        <v>963</v>
      </c>
      <c r="C315" s="2" t="s">
        <v>964</v>
      </c>
      <c r="D315" s="2" t="s">
        <v>10</v>
      </c>
      <c r="E315" s="2" t="s">
        <v>95</v>
      </c>
      <c r="F315" s="3" t="str">
        <f>HYPERLINK("http://ovidsp.ovid.com/ovidweb.cgi?T=JS&amp;NEWS=n&amp;CSC=Y&amp;PAGE=booktext&amp;D=books&amp;AN=01279746$&amp;XPATH=/PG(0)","http://ovidsp.ovid.com/ovidweb.cgi?T=JS&amp;NEWS=n&amp;CSC=Y&amp;PAGE=booktext&amp;D=books&amp;AN=01279746$&amp;XPATH=/PG(0)")</f>
        <v>http://ovidsp.ovid.com/ovidweb.cgi?T=JS&amp;NEWS=n&amp;CSC=Y&amp;PAGE=booktext&amp;D=books&amp;AN=01279746$&amp;XPATH=/PG(0)</v>
      </c>
      <c r="G315" s="2" t="s">
        <v>17</v>
      </c>
    </row>
    <row r="316" spans="1:7" x14ac:dyDescent="0.15">
      <c r="A316" s="2" t="s">
        <v>965</v>
      </c>
      <c r="B316" s="2" t="s">
        <v>966</v>
      </c>
      <c r="C316" s="2" t="s">
        <v>967</v>
      </c>
      <c r="D316" s="2" t="s">
        <v>10</v>
      </c>
      <c r="E316" s="2" t="s">
        <v>95</v>
      </c>
      <c r="F316" s="3" t="str">
        <f>HYPERLINK("http://ovidsp.ovid.com/ovidweb.cgi?T=JS&amp;NEWS=n&amp;CSC=Y&amp;PAGE=booktext&amp;D=books&amp;AN=01273316$&amp;XPATH=/PG(0)","http://ovidsp.ovid.com/ovidweb.cgi?T=JS&amp;NEWS=n&amp;CSC=Y&amp;PAGE=booktext&amp;D=books&amp;AN=01273316$&amp;XPATH=/PG(0)")</f>
        <v>http://ovidsp.ovid.com/ovidweb.cgi?T=JS&amp;NEWS=n&amp;CSC=Y&amp;PAGE=booktext&amp;D=books&amp;AN=01273316$&amp;XPATH=/PG(0)</v>
      </c>
      <c r="G316" s="2" t="s">
        <v>12</v>
      </c>
    </row>
    <row r="317" spans="1:7" x14ac:dyDescent="0.15">
      <c r="A317" s="2" t="s">
        <v>968</v>
      </c>
      <c r="B317" s="2" t="s">
        <v>969</v>
      </c>
      <c r="C317" s="2" t="s">
        <v>970</v>
      </c>
      <c r="D317" s="2" t="s">
        <v>10</v>
      </c>
      <c r="E317" s="2" t="s">
        <v>49</v>
      </c>
      <c r="F317" s="3" t="str">
        <f>HYPERLINK("http://ovidsp.ovid.com/ovidweb.cgi?T=JS&amp;NEWS=n&amp;CSC=Y&amp;PAGE=booktext&amp;D=books&amp;AN=00139926$&amp;XPATH=/PG(0)","http://ovidsp.ovid.com/ovidweb.cgi?T=JS&amp;NEWS=n&amp;CSC=Y&amp;PAGE=booktext&amp;D=books&amp;AN=00139926$&amp;XPATH=/PG(0)")</f>
        <v>http://ovidsp.ovid.com/ovidweb.cgi?T=JS&amp;NEWS=n&amp;CSC=Y&amp;PAGE=booktext&amp;D=books&amp;AN=00139926$&amp;XPATH=/PG(0)</v>
      </c>
      <c r="G317" s="2" t="s">
        <v>17</v>
      </c>
    </row>
    <row r="318" spans="1:7" x14ac:dyDescent="0.15">
      <c r="A318" s="2" t="s">
        <v>971</v>
      </c>
      <c r="B318" s="2" t="s">
        <v>972</v>
      </c>
      <c r="C318" s="2" t="s">
        <v>973</v>
      </c>
      <c r="D318" s="2" t="s">
        <v>10</v>
      </c>
      <c r="E318" s="2" t="s">
        <v>95</v>
      </c>
      <c r="F318" s="3" t="str">
        <f>HYPERLINK("http://ovidsp.ovid.com/ovidweb.cgi?T=JS&amp;NEWS=n&amp;CSC=Y&amp;PAGE=booktext&amp;D=books&amp;AN=01382885$&amp;XPATH=/PG(0)","http://ovidsp.ovid.com/ovidweb.cgi?T=JS&amp;NEWS=n&amp;CSC=Y&amp;PAGE=booktext&amp;D=books&amp;AN=01382885$&amp;XPATH=/PG(0)")</f>
        <v>http://ovidsp.ovid.com/ovidweb.cgi?T=JS&amp;NEWS=n&amp;CSC=Y&amp;PAGE=booktext&amp;D=books&amp;AN=01382885$&amp;XPATH=/PG(0)</v>
      </c>
      <c r="G318" s="2" t="s">
        <v>12</v>
      </c>
    </row>
    <row r="319" spans="1:7" x14ac:dyDescent="0.15">
      <c r="A319" s="2" t="s">
        <v>974</v>
      </c>
      <c r="B319" s="2" t="s">
        <v>975</v>
      </c>
      <c r="C319" s="2" t="s">
        <v>976</v>
      </c>
      <c r="D319" s="2" t="s">
        <v>10</v>
      </c>
      <c r="E319" s="2" t="s">
        <v>49</v>
      </c>
      <c r="F319" s="3" t="str">
        <f>HYPERLINK("http://ovidsp.ovid.com/ovidweb.cgi?T=JS&amp;NEWS=n&amp;CSC=Y&amp;PAGE=booktext&amp;D=books&amp;AN=01337664$&amp;XPATH=/PG(0)","http://ovidsp.ovid.com/ovidweb.cgi?T=JS&amp;NEWS=n&amp;CSC=Y&amp;PAGE=booktext&amp;D=books&amp;AN=01337664$&amp;XPATH=/PG(0)")</f>
        <v>http://ovidsp.ovid.com/ovidweb.cgi?T=JS&amp;NEWS=n&amp;CSC=Y&amp;PAGE=booktext&amp;D=books&amp;AN=01337664$&amp;XPATH=/PG(0)</v>
      </c>
      <c r="G319" s="2" t="s">
        <v>17</v>
      </c>
    </row>
    <row r="320" spans="1:7" x14ac:dyDescent="0.15">
      <c r="A320" s="2" t="s">
        <v>977</v>
      </c>
      <c r="B320" s="2" t="s">
        <v>978</v>
      </c>
      <c r="C320" s="2" t="s">
        <v>979</v>
      </c>
      <c r="D320" s="2" t="s">
        <v>10</v>
      </c>
      <c r="E320" s="2" t="s">
        <v>95</v>
      </c>
      <c r="F320" s="3" t="str">
        <f>HYPERLINK("http://ovidsp.ovid.com/ovidweb.cgi?T=JS&amp;NEWS=n&amp;CSC=Y&amp;PAGE=booktext&amp;D=books&amp;AN=01256968$&amp;XPATH=/PG(0)","http://ovidsp.ovid.com/ovidweb.cgi?T=JS&amp;NEWS=n&amp;CSC=Y&amp;PAGE=booktext&amp;D=books&amp;AN=01256968$&amp;XPATH=/PG(0)")</f>
        <v>http://ovidsp.ovid.com/ovidweb.cgi?T=JS&amp;NEWS=n&amp;CSC=Y&amp;PAGE=booktext&amp;D=books&amp;AN=01256968$&amp;XPATH=/PG(0)</v>
      </c>
      <c r="G320" s="2" t="s">
        <v>17</v>
      </c>
    </row>
    <row r="321" spans="1:7" x14ac:dyDescent="0.15">
      <c r="A321" s="2" t="s">
        <v>980</v>
      </c>
      <c r="B321" s="2" t="s">
        <v>981</v>
      </c>
      <c r="C321" s="2" t="s">
        <v>982</v>
      </c>
      <c r="D321" s="2" t="s">
        <v>10</v>
      </c>
      <c r="E321" s="2" t="s">
        <v>49</v>
      </c>
      <c r="F321" s="3" t="str">
        <f>HYPERLINK("http://ovidsp.ovid.com/ovidweb.cgi?T=JS&amp;NEWS=n&amp;CSC=Y&amp;PAGE=booktext&amp;D=books&amp;AN=01382479$&amp;XPATH=/PG(0)","http://ovidsp.ovid.com/ovidweb.cgi?T=JS&amp;NEWS=n&amp;CSC=Y&amp;PAGE=booktext&amp;D=books&amp;AN=01382479$&amp;XPATH=/PG(0)")</f>
        <v>http://ovidsp.ovid.com/ovidweb.cgi?T=JS&amp;NEWS=n&amp;CSC=Y&amp;PAGE=booktext&amp;D=books&amp;AN=01382479$&amp;XPATH=/PG(0)</v>
      </c>
      <c r="G321" s="2" t="s">
        <v>17</v>
      </c>
    </row>
    <row r="322" spans="1:7" x14ac:dyDescent="0.15">
      <c r="A322" s="2" t="s">
        <v>983</v>
      </c>
      <c r="B322" s="2" t="s">
        <v>984</v>
      </c>
      <c r="C322" s="2" t="s">
        <v>985</v>
      </c>
      <c r="D322" s="2" t="s">
        <v>10</v>
      </c>
      <c r="E322" s="2" t="s">
        <v>45</v>
      </c>
      <c r="F322" s="3" t="str">
        <f>HYPERLINK("http://ovidsp.ovid.com/ovidweb.cgi?T=JS&amp;NEWS=n&amp;CSC=Y&amp;PAGE=booktext&amp;D=books&amp;AN=01382560$&amp;XPATH=/PG(0)","http://ovidsp.ovid.com/ovidweb.cgi?T=JS&amp;NEWS=n&amp;CSC=Y&amp;PAGE=booktext&amp;D=books&amp;AN=01382560$&amp;XPATH=/PG(0)")</f>
        <v>http://ovidsp.ovid.com/ovidweb.cgi?T=JS&amp;NEWS=n&amp;CSC=Y&amp;PAGE=booktext&amp;D=books&amp;AN=01382560$&amp;XPATH=/PG(0)</v>
      </c>
      <c r="G322" s="2" t="s">
        <v>17</v>
      </c>
    </row>
    <row r="323" spans="1:7" x14ac:dyDescent="0.15">
      <c r="A323" s="2" t="s">
        <v>986</v>
      </c>
      <c r="B323" s="2" t="s">
        <v>987</v>
      </c>
      <c r="C323" s="2" t="s">
        <v>988</v>
      </c>
      <c r="D323" s="2" t="s">
        <v>10</v>
      </c>
      <c r="E323" s="2" t="s">
        <v>45</v>
      </c>
      <c r="F323" s="3" t="str">
        <f>HYPERLINK("http://ovidsp.ovid.com/ovidweb.cgi?T=JS&amp;NEWS=n&amp;CSC=Y&amp;PAGE=booktext&amp;D=books&amp;AN=00139927$&amp;XPATH=/PG(0)","http://ovidsp.ovid.com/ovidweb.cgi?T=JS&amp;NEWS=n&amp;CSC=Y&amp;PAGE=booktext&amp;D=books&amp;AN=00139927$&amp;XPATH=/PG(0)")</f>
        <v>http://ovidsp.ovid.com/ovidweb.cgi?T=JS&amp;NEWS=n&amp;CSC=Y&amp;PAGE=booktext&amp;D=books&amp;AN=00139927$&amp;XPATH=/PG(0)</v>
      </c>
      <c r="G323" s="2" t="s">
        <v>12</v>
      </c>
    </row>
    <row r="324" spans="1:7" x14ac:dyDescent="0.15">
      <c r="A324" s="2" t="s">
        <v>989</v>
      </c>
      <c r="B324" s="2" t="s">
        <v>990</v>
      </c>
      <c r="C324" s="2" t="s">
        <v>991</v>
      </c>
      <c r="D324" s="2" t="s">
        <v>10</v>
      </c>
      <c r="E324" s="2" t="s">
        <v>45</v>
      </c>
      <c r="F324" s="3" t="str">
        <f>HYPERLINK("http://ovidsp.ovid.com/ovidweb.cgi?T=JS&amp;NEWS=n&amp;CSC=Y&amp;PAGE=booktext&amp;D=books&amp;AN=01382565$&amp;XPATH=/PG(0)","http://ovidsp.ovid.com/ovidweb.cgi?T=JS&amp;NEWS=n&amp;CSC=Y&amp;PAGE=booktext&amp;D=books&amp;AN=01382565$&amp;XPATH=/PG(0)")</f>
        <v>http://ovidsp.ovid.com/ovidweb.cgi?T=JS&amp;NEWS=n&amp;CSC=Y&amp;PAGE=booktext&amp;D=books&amp;AN=01382565$&amp;XPATH=/PG(0)</v>
      </c>
      <c r="G324" s="2" t="s">
        <v>17</v>
      </c>
    </row>
    <row r="325" spans="1:7" x14ac:dyDescent="0.15">
      <c r="A325" s="2" t="s">
        <v>992</v>
      </c>
      <c r="B325" s="2" t="s">
        <v>993</v>
      </c>
      <c r="C325" s="2" t="s">
        <v>994</v>
      </c>
      <c r="D325" s="2" t="s">
        <v>10</v>
      </c>
      <c r="E325" s="2" t="s">
        <v>49</v>
      </c>
      <c r="F325" s="3" t="str">
        <f>HYPERLINK("http://ovidsp.ovid.com/ovidweb.cgi?T=JS&amp;NEWS=n&amp;CSC=Y&amp;PAGE=booktext&amp;D=books&amp;AN=01222995$&amp;XPATH=/PG(0)","http://ovidsp.ovid.com/ovidweb.cgi?T=JS&amp;NEWS=n&amp;CSC=Y&amp;PAGE=booktext&amp;D=books&amp;AN=01222995$&amp;XPATH=/PG(0)")</f>
        <v>http://ovidsp.ovid.com/ovidweb.cgi?T=JS&amp;NEWS=n&amp;CSC=Y&amp;PAGE=booktext&amp;D=books&amp;AN=01222995$&amp;XPATH=/PG(0)</v>
      </c>
      <c r="G325" s="2" t="s">
        <v>12</v>
      </c>
    </row>
    <row r="326" spans="1:7" x14ac:dyDescent="0.15">
      <c r="A326" s="2" t="s">
        <v>995</v>
      </c>
      <c r="B326" s="2" t="s">
        <v>996</v>
      </c>
      <c r="C326" s="2" t="s">
        <v>997</v>
      </c>
      <c r="D326" s="2" t="s">
        <v>10</v>
      </c>
      <c r="E326" s="2" t="s">
        <v>49</v>
      </c>
      <c r="F326" s="3" t="str">
        <f>HYPERLINK("http://ovidsp.ovid.com/ovidweb.cgi?T=JS&amp;NEWS=n&amp;CSC=Y&amp;PAGE=booktext&amp;D=books&amp;AN=00139928$&amp;XPATH=/PG(0)","http://ovidsp.ovid.com/ovidweb.cgi?T=JS&amp;NEWS=n&amp;CSC=Y&amp;PAGE=booktext&amp;D=books&amp;AN=00139928$&amp;XPATH=/PG(0)")</f>
        <v>http://ovidsp.ovid.com/ovidweb.cgi?T=JS&amp;NEWS=n&amp;CSC=Y&amp;PAGE=booktext&amp;D=books&amp;AN=00139928$&amp;XPATH=/PG(0)</v>
      </c>
      <c r="G326" s="2" t="s">
        <v>12</v>
      </c>
    </row>
    <row r="327" spans="1:7" x14ac:dyDescent="0.15">
      <c r="A327" s="2" t="s">
        <v>998</v>
      </c>
      <c r="B327" s="2" t="s">
        <v>999</v>
      </c>
      <c r="C327" s="2" t="s">
        <v>1000</v>
      </c>
      <c r="D327" s="2" t="s">
        <v>10</v>
      </c>
      <c r="E327" s="2" t="s">
        <v>49</v>
      </c>
      <c r="F327" s="3" t="str">
        <f>HYPERLINK("http://ovidsp.ovid.com/ovidweb.cgi?T=JS&amp;NEWS=n&amp;CSC=Y&amp;PAGE=booktext&amp;D=books&amp;AN=01257009$&amp;XPATH=/PG(0)","http://ovidsp.ovid.com/ovidweb.cgi?T=JS&amp;NEWS=n&amp;CSC=Y&amp;PAGE=booktext&amp;D=books&amp;AN=01257009$&amp;XPATH=/PG(0)")</f>
        <v>http://ovidsp.ovid.com/ovidweb.cgi?T=JS&amp;NEWS=n&amp;CSC=Y&amp;PAGE=booktext&amp;D=books&amp;AN=01257009$&amp;XPATH=/PG(0)</v>
      </c>
      <c r="G327" s="2" t="s">
        <v>17</v>
      </c>
    </row>
    <row r="328" spans="1:7" x14ac:dyDescent="0.15">
      <c r="A328" s="2" t="s">
        <v>1001</v>
      </c>
      <c r="B328" s="2" t="s">
        <v>1002</v>
      </c>
      <c r="C328" s="2" t="s">
        <v>1003</v>
      </c>
      <c r="D328" s="2" t="s">
        <v>10</v>
      </c>
      <c r="E328" s="2" t="s">
        <v>53</v>
      </c>
      <c r="F328" s="3" t="str">
        <f>HYPERLINK("http://ovidsp.ovid.com/ovidweb.cgi?T=JS&amp;NEWS=n&amp;CSC=Y&amp;PAGE=booktext&amp;D=books&amp;AN=01382564$&amp;XPATH=/PG(0)","http://ovidsp.ovid.com/ovidweb.cgi?T=JS&amp;NEWS=n&amp;CSC=Y&amp;PAGE=booktext&amp;D=books&amp;AN=01382564$&amp;XPATH=/PG(0)")</f>
        <v>http://ovidsp.ovid.com/ovidweb.cgi?T=JS&amp;NEWS=n&amp;CSC=Y&amp;PAGE=booktext&amp;D=books&amp;AN=01382564$&amp;XPATH=/PG(0)</v>
      </c>
      <c r="G328" s="2" t="s">
        <v>17</v>
      </c>
    </row>
    <row r="329" spans="1:7" x14ac:dyDescent="0.15">
      <c r="A329" s="2" t="s">
        <v>1004</v>
      </c>
      <c r="B329" s="2" t="s">
        <v>1005</v>
      </c>
      <c r="C329" s="2" t="s">
        <v>1006</v>
      </c>
      <c r="D329" s="2" t="s">
        <v>10</v>
      </c>
      <c r="E329" s="2" t="s">
        <v>95</v>
      </c>
      <c r="F329" s="3" t="str">
        <f>HYPERLINK("http://ovidsp.ovid.com/ovidweb.cgi?T=JS&amp;NEWS=n&amp;CSC=Y&amp;PAGE=booktext&amp;D=books&amp;AN=01382561$&amp;XPATH=/PG(0)","http://ovidsp.ovid.com/ovidweb.cgi?T=JS&amp;NEWS=n&amp;CSC=Y&amp;PAGE=booktext&amp;D=books&amp;AN=01382561$&amp;XPATH=/PG(0)")</f>
        <v>http://ovidsp.ovid.com/ovidweb.cgi?T=JS&amp;NEWS=n&amp;CSC=Y&amp;PAGE=booktext&amp;D=books&amp;AN=01382561$&amp;XPATH=/PG(0)</v>
      </c>
      <c r="G329" s="2" t="s">
        <v>17</v>
      </c>
    </row>
    <row r="330" spans="1:7" x14ac:dyDescent="0.15">
      <c r="A330" s="2" t="s">
        <v>1007</v>
      </c>
      <c r="B330" s="2" t="s">
        <v>1008</v>
      </c>
      <c r="C330" s="2" t="s">
        <v>1009</v>
      </c>
      <c r="D330" s="2" t="s">
        <v>10</v>
      </c>
      <c r="E330" s="2" t="s">
        <v>95</v>
      </c>
      <c r="F330" s="3" t="str">
        <f>HYPERLINK("http://ovidsp.ovid.com/ovidweb.cgi?T=JS&amp;NEWS=n&amp;CSC=Y&amp;PAGE=booktext&amp;D=books&amp;AN=00139929$&amp;XPATH=/PG(0)","http://ovidsp.ovid.com/ovidweb.cgi?T=JS&amp;NEWS=n&amp;CSC=Y&amp;PAGE=booktext&amp;D=books&amp;AN=00139929$&amp;XPATH=/PG(0)")</f>
        <v>http://ovidsp.ovid.com/ovidweb.cgi?T=JS&amp;NEWS=n&amp;CSC=Y&amp;PAGE=booktext&amp;D=books&amp;AN=00139929$&amp;XPATH=/PG(0)</v>
      </c>
      <c r="G330" s="2" t="s">
        <v>12</v>
      </c>
    </row>
    <row r="331" spans="1:7" x14ac:dyDescent="0.15">
      <c r="A331" s="2" t="s">
        <v>1007</v>
      </c>
      <c r="B331" s="2" t="s">
        <v>1010</v>
      </c>
      <c r="C331" s="2" t="s">
        <v>1011</v>
      </c>
      <c r="D331" s="2" t="s">
        <v>10</v>
      </c>
      <c r="E331" s="2" t="s">
        <v>45</v>
      </c>
      <c r="F331" s="3" t="str">
        <f>HYPERLINK("http://ovidsp.ovid.com/ovidweb.cgi?T=JS&amp;NEWS=n&amp;CSC=Y&amp;PAGE=booktext&amp;D=books&amp;AN=01382874$&amp;XPATH=/PG(0)","http://ovidsp.ovid.com/ovidweb.cgi?T=JS&amp;NEWS=n&amp;CSC=Y&amp;PAGE=booktext&amp;D=books&amp;AN=01382874$&amp;XPATH=/PG(0)")</f>
        <v>http://ovidsp.ovid.com/ovidweb.cgi?T=JS&amp;NEWS=n&amp;CSC=Y&amp;PAGE=booktext&amp;D=books&amp;AN=01382874$&amp;XPATH=/PG(0)</v>
      </c>
      <c r="G331" s="2" t="s">
        <v>12</v>
      </c>
    </row>
    <row r="332" spans="1:7" x14ac:dyDescent="0.15">
      <c r="A332" s="2" t="s">
        <v>1012</v>
      </c>
      <c r="B332" s="2" t="s">
        <v>1013</v>
      </c>
      <c r="C332" s="2" t="s">
        <v>1014</v>
      </c>
      <c r="D332" s="2" t="s">
        <v>10</v>
      </c>
      <c r="E332" s="2" t="s">
        <v>45</v>
      </c>
      <c r="F332" s="3" t="str">
        <f>HYPERLINK("http://ovidsp.ovid.com/ovidweb.cgi?T=JS&amp;NEWS=n&amp;CSC=Y&amp;PAGE=booktext&amp;D=books&amp;AN=01382480$&amp;XPATH=/PG(0)","http://ovidsp.ovid.com/ovidweb.cgi?T=JS&amp;NEWS=n&amp;CSC=Y&amp;PAGE=booktext&amp;D=books&amp;AN=01382480$&amp;XPATH=/PG(0)")</f>
        <v>http://ovidsp.ovid.com/ovidweb.cgi?T=JS&amp;NEWS=n&amp;CSC=Y&amp;PAGE=booktext&amp;D=books&amp;AN=01382480$&amp;XPATH=/PG(0)</v>
      </c>
      <c r="G332" s="2" t="s">
        <v>17</v>
      </c>
    </row>
    <row r="333" spans="1:7" x14ac:dyDescent="0.15">
      <c r="A333" s="2" t="s">
        <v>1015</v>
      </c>
      <c r="B333" s="2" t="s">
        <v>1016</v>
      </c>
      <c r="C333" s="2" t="s">
        <v>1017</v>
      </c>
      <c r="D333" s="2" t="s">
        <v>10</v>
      </c>
      <c r="E333" s="2" t="s">
        <v>45</v>
      </c>
      <c r="F333" s="3" t="str">
        <f>HYPERLINK("http://ovidsp.ovid.com/ovidweb.cgi?T=JS&amp;NEWS=n&amp;CSC=Y&amp;PAGE=booktext&amp;D=books&amp;AN=01382562$&amp;XPATH=/PG(0)","http://ovidsp.ovid.com/ovidweb.cgi?T=JS&amp;NEWS=n&amp;CSC=Y&amp;PAGE=booktext&amp;D=books&amp;AN=01382562$&amp;XPATH=/PG(0)")</f>
        <v>http://ovidsp.ovid.com/ovidweb.cgi?T=JS&amp;NEWS=n&amp;CSC=Y&amp;PAGE=booktext&amp;D=books&amp;AN=01382562$&amp;XPATH=/PG(0)</v>
      </c>
      <c r="G333" s="2" t="s">
        <v>17</v>
      </c>
    </row>
    <row r="334" spans="1:7" x14ac:dyDescent="0.15">
      <c r="A334" s="2" t="s">
        <v>1018</v>
      </c>
      <c r="B334" s="2" t="s">
        <v>1019</v>
      </c>
      <c r="C334" s="2" t="s">
        <v>1020</v>
      </c>
      <c r="D334" s="2" t="s">
        <v>10</v>
      </c>
      <c r="E334" s="2" t="s">
        <v>45</v>
      </c>
      <c r="F334" s="3" t="str">
        <f>HYPERLINK("http://ovidsp.ovid.com/ovidweb.cgi?T=JS&amp;NEWS=n&amp;CSC=Y&amp;PAGE=booktext&amp;D=books&amp;AN=01382646$&amp;XPATH=/PG(0)","http://ovidsp.ovid.com/ovidweb.cgi?T=JS&amp;NEWS=n&amp;CSC=Y&amp;PAGE=booktext&amp;D=books&amp;AN=01382646$&amp;XPATH=/PG(0)")</f>
        <v>http://ovidsp.ovid.com/ovidweb.cgi?T=JS&amp;NEWS=n&amp;CSC=Y&amp;PAGE=booktext&amp;D=books&amp;AN=01382646$&amp;XPATH=/PG(0)</v>
      </c>
      <c r="G334" s="2" t="s">
        <v>17</v>
      </c>
    </row>
    <row r="335" spans="1:7" x14ac:dyDescent="0.15">
      <c r="A335" s="2" t="s">
        <v>1021</v>
      </c>
      <c r="B335" s="2" t="s">
        <v>1022</v>
      </c>
      <c r="C335" s="2" t="s">
        <v>1023</v>
      </c>
      <c r="D335" s="2" t="s">
        <v>10</v>
      </c>
      <c r="E335" s="2" t="s">
        <v>53</v>
      </c>
      <c r="F335" s="3" t="str">
        <f>HYPERLINK("http://ovidsp.ovid.com/ovidweb.cgi?T=JS&amp;NEWS=n&amp;CSC=Y&amp;PAGE=booktext&amp;D=books&amp;AN=01382567$&amp;XPATH=/PG(0)","http://ovidsp.ovid.com/ovidweb.cgi?T=JS&amp;NEWS=n&amp;CSC=Y&amp;PAGE=booktext&amp;D=books&amp;AN=01382567$&amp;XPATH=/PG(0)")</f>
        <v>http://ovidsp.ovid.com/ovidweb.cgi?T=JS&amp;NEWS=n&amp;CSC=Y&amp;PAGE=booktext&amp;D=books&amp;AN=01382567$&amp;XPATH=/PG(0)</v>
      </c>
      <c r="G335" s="2" t="s">
        <v>17</v>
      </c>
    </row>
    <row r="336" spans="1:7" x14ac:dyDescent="0.15">
      <c r="A336" s="2" t="s">
        <v>1024</v>
      </c>
      <c r="B336" s="2" t="s">
        <v>1025</v>
      </c>
      <c r="C336" s="2" t="s">
        <v>1026</v>
      </c>
      <c r="D336" s="2" t="s">
        <v>10</v>
      </c>
      <c r="E336" s="2" t="s">
        <v>95</v>
      </c>
      <c r="F336" s="3" t="str">
        <f>HYPERLINK("http://ovidsp.ovid.com/ovidweb.cgi?T=JS&amp;NEWS=n&amp;CSC=Y&amp;PAGE=booktext&amp;D=books&amp;AN=01382869$&amp;XPATH=/PG(0)","http://ovidsp.ovid.com/ovidweb.cgi?T=JS&amp;NEWS=n&amp;CSC=Y&amp;PAGE=booktext&amp;D=books&amp;AN=01382869$&amp;XPATH=/PG(0)")</f>
        <v>http://ovidsp.ovid.com/ovidweb.cgi?T=JS&amp;NEWS=n&amp;CSC=Y&amp;PAGE=booktext&amp;D=books&amp;AN=01382869$&amp;XPATH=/PG(0)</v>
      </c>
      <c r="G336" s="2" t="s">
        <v>12</v>
      </c>
    </row>
    <row r="337" spans="1:7" x14ac:dyDescent="0.15">
      <c r="A337" s="2" t="s">
        <v>1027</v>
      </c>
      <c r="B337" s="2" t="s">
        <v>1028</v>
      </c>
      <c r="C337" s="2" t="s">
        <v>1029</v>
      </c>
      <c r="D337" s="2" t="s">
        <v>10</v>
      </c>
      <c r="E337" s="2" t="s">
        <v>16</v>
      </c>
      <c r="F337" s="3" t="str">
        <f>HYPERLINK("http://ovidsp.ovid.com/ovidweb.cgi?T=JS&amp;NEWS=n&amp;CSC=Y&amp;PAGE=booktext&amp;D=books&amp;AN=01279747$&amp;XPATH=/PG(0)","http://ovidsp.ovid.com/ovidweb.cgi?T=JS&amp;NEWS=n&amp;CSC=Y&amp;PAGE=booktext&amp;D=books&amp;AN=01279747$&amp;XPATH=/PG(0)")</f>
        <v>http://ovidsp.ovid.com/ovidweb.cgi?T=JS&amp;NEWS=n&amp;CSC=Y&amp;PAGE=booktext&amp;D=books&amp;AN=01279747$&amp;XPATH=/PG(0)</v>
      </c>
      <c r="G337" s="2" t="s">
        <v>17</v>
      </c>
    </row>
    <row r="338" spans="1:7" x14ac:dyDescent="0.15">
      <c r="A338" s="2" t="s">
        <v>1030</v>
      </c>
      <c r="B338" s="2" t="s">
        <v>1031</v>
      </c>
      <c r="C338" s="2" t="s">
        <v>1032</v>
      </c>
      <c r="D338" s="2" t="s">
        <v>10</v>
      </c>
      <c r="E338" s="2" t="s">
        <v>45</v>
      </c>
      <c r="F338" s="3" t="str">
        <f>HYPERLINK("http://ovidsp.ovid.com/ovidweb.cgi?T=JS&amp;NEWS=n&amp;CSC=Y&amp;PAGE=booktext&amp;D=books&amp;AN=01257010$&amp;XPATH=/PG(0)","http://ovidsp.ovid.com/ovidweb.cgi?T=JS&amp;NEWS=n&amp;CSC=Y&amp;PAGE=booktext&amp;D=books&amp;AN=01257010$&amp;XPATH=/PG(0)")</f>
        <v>http://ovidsp.ovid.com/ovidweb.cgi?T=JS&amp;NEWS=n&amp;CSC=Y&amp;PAGE=booktext&amp;D=books&amp;AN=01257010$&amp;XPATH=/PG(0)</v>
      </c>
      <c r="G338" s="2" t="s">
        <v>17</v>
      </c>
    </row>
    <row r="339" spans="1:7" x14ac:dyDescent="0.15">
      <c r="A339" s="2" t="s">
        <v>1033</v>
      </c>
      <c r="B339" s="2" t="s">
        <v>1034</v>
      </c>
      <c r="C339" s="2" t="s">
        <v>1035</v>
      </c>
      <c r="D339" s="2" t="s">
        <v>10</v>
      </c>
      <c r="E339" s="2" t="s">
        <v>95</v>
      </c>
      <c r="F339" s="3" t="str">
        <f>HYPERLINK("http://ovidsp.ovid.com/ovidweb.cgi?T=JS&amp;NEWS=n&amp;CSC=Y&amp;PAGE=booktext&amp;D=books&amp;AN=00139960$&amp;XPATH=/PG(0)","http://ovidsp.ovid.com/ovidweb.cgi?T=JS&amp;NEWS=n&amp;CSC=Y&amp;PAGE=booktext&amp;D=books&amp;AN=00139960$&amp;XPATH=/PG(0)")</f>
        <v>http://ovidsp.ovid.com/ovidweb.cgi?T=JS&amp;NEWS=n&amp;CSC=Y&amp;PAGE=booktext&amp;D=books&amp;AN=00139960$&amp;XPATH=/PG(0)</v>
      </c>
      <c r="G339" s="2" t="s">
        <v>17</v>
      </c>
    </row>
    <row r="340" spans="1:7" x14ac:dyDescent="0.15">
      <c r="A340" s="2" t="s">
        <v>1036</v>
      </c>
      <c r="B340" s="2" t="s">
        <v>1037</v>
      </c>
      <c r="C340" s="2" t="s">
        <v>1038</v>
      </c>
      <c r="D340" s="2" t="s">
        <v>10</v>
      </c>
      <c r="E340" s="2" t="s">
        <v>53</v>
      </c>
      <c r="F340" s="3" t="str">
        <f>HYPERLINK("http://ovidsp.ovid.com/ovidweb.cgi?T=JS&amp;NEWS=n&amp;CSC=Y&amp;PAGE=booktext&amp;D=books&amp;AN=01382481$&amp;XPATH=/PG(0)","http://ovidsp.ovid.com/ovidweb.cgi?T=JS&amp;NEWS=n&amp;CSC=Y&amp;PAGE=booktext&amp;D=books&amp;AN=01382481$&amp;XPATH=/PG(0)")</f>
        <v>http://ovidsp.ovid.com/ovidweb.cgi?T=JS&amp;NEWS=n&amp;CSC=Y&amp;PAGE=booktext&amp;D=books&amp;AN=01382481$&amp;XPATH=/PG(0)</v>
      </c>
      <c r="G340" s="2" t="s">
        <v>17</v>
      </c>
    </row>
    <row r="341" spans="1:7" x14ac:dyDescent="0.15">
      <c r="A341" s="2" t="s">
        <v>1039</v>
      </c>
      <c r="B341" s="2" t="s">
        <v>1040</v>
      </c>
      <c r="C341" s="2" t="s">
        <v>1041</v>
      </c>
      <c r="D341" s="2" t="s">
        <v>10</v>
      </c>
      <c r="E341" s="2" t="s">
        <v>49</v>
      </c>
      <c r="F341" s="3" t="str">
        <f>HYPERLINK("http://ovidsp.ovid.com/ovidweb.cgi?T=JS&amp;NEWS=n&amp;CSC=Y&amp;PAGE=booktext&amp;D=books&amp;AN=00139891$&amp;XPATH=/PG(0)","http://ovidsp.ovid.com/ovidweb.cgi?T=JS&amp;NEWS=n&amp;CSC=Y&amp;PAGE=booktext&amp;D=books&amp;AN=00139891$&amp;XPATH=/PG(0)")</f>
        <v>http://ovidsp.ovid.com/ovidweb.cgi?T=JS&amp;NEWS=n&amp;CSC=Y&amp;PAGE=booktext&amp;D=books&amp;AN=00139891$&amp;XPATH=/PG(0)</v>
      </c>
      <c r="G341" s="2" t="s">
        <v>12</v>
      </c>
    </row>
    <row r="342" spans="1:7" x14ac:dyDescent="0.15">
      <c r="A342" s="2" t="s">
        <v>1042</v>
      </c>
      <c r="B342" s="2" t="s">
        <v>1043</v>
      </c>
      <c r="C342" s="2" t="s">
        <v>1044</v>
      </c>
      <c r="D342" s="2" t="s">
        <v>10</v>
      </c>
      <c r="E342" s="2" t="s">
        <v>49</v>
      </c>
      <c r="F342" s="3" t="str">
        <f>HYPERLINK("http://ovidsp.ovid.com/ovidweb.cgi?T=JS&amp;NEWS=n&amp;CSC=Y&amp;PAGE=booktext&amp;D=books&amp;AN=00139932$&amp;XPATH=/PG(0)","http://ovidsp.ovid.com/ovidweb.cgi?T=JS&amp;NEWS=n&amp;CSC=Y&amp;PAGE=booktext&amp;D=books&amp;AN=00139932$&amp;XPATH=/PG(0)")</f>
        <v>http://ovidsp.ovid.com/ovidweb.cgi?T=JS&amp;NEWS=n&amp;CSC=Y&amp;PAGE=booktext&amp;D=books&amp;AN=00139932$&amp;XPATH=/PG(0)</v>
      </c>
      <c r="G342" s="2" t="s">
        <v>17</v>
      </c>
    </row>
    <row r="343" spans="1:7" x14ac:dyDescent="0.15">
      <c r="A343" s="2" t="s">
        <v>1045</v>
      </c>
      <c r="B343" s="2" t="s">
        <v>1046</v>
      </c>
      <c r="C343" s="2" t="s">
        <v>1047</v>
      </c>
      <c r="D343" s="2" t="s">
        <v>10</v>
      </c>
      <c r="E343" s="2" t="s">
        <v>45</v>
      </c>
      <c r="F343" s="3" t="str">
        <f>HYPERLINK("http://ovidsp.ovid.com/ovidweb.cgi?T=JS&amp;NEWS=n&amp;CSC=Y&amp;PAGE=booktext&amp;D=books&amp;AN=01222996$&amp;XPATH=/PG(0)","http://ovidsp.ovid.com/ovidweb.cgi?T=JS&amp;NEWS=n&amp;CSC=Y&amp;PAGE=booktext&amp;D=books&amp;AN=01222996$&amp;XPATH=/PG(0)")</f>
        <v>http://ovidsp.ovid.com/ovidweb.cgi?T=JS&amp;NEWS=n&amp;CSC=Y&amp;PAGE=booktext&amp;D=books&amp;AN=01222996$&amp;XPATH=/PG(0)</v>
      </c>
      <c r="G343" s="2" t="s">
        <v>12</v>
      </c>
    </row>
    <row r="344" spans="1:7" x14ac:dyDescent="0.15">
      <c r="A344" s="2" t="s">
        <v>1045</v>
      </c>
      <c r="B344" s="2" t="s">
        <v>1048</v>
      </c>
      <c r="C344" s="2" t="s">
        <v>1049</v>
      </c>
      <c r="D344" s="2" t="s">
        <v>10</v>
      </c>
      <c r="E344" s="2" t="s">
        <v>95</v>
      </c>
      <c r="F344" s="3" t="str">
        <f>HYPERLINK("http://ovidsp.ovid.com/ovidweb.cgi?T=JS&amp;NEWS=n&amp;CSC=Y&amp;PAGE=booktext&amp;D=books&amp;AN=01337298$&amp;XPATH=/PG(0)","http://ovidsp.ovid.com/ovidweb.cgi?T=JS&amp;NEWS=n&amp;CSC=Y&amp;PAGE=booktext&amp;D=books&amp;AN=01337298$&amp;XPATH=/PG(0)")</f>
        <v>http://ovidsp.ovid.com/ovidweb.cgi?T=JS&amp;NEWS=n&amp;CSC=Y&amp;PAGE=booktext&amp;D=books&amp;AN=01337298$&amp;XPATH=/PG(0)</v>
      </c>
      <c r="G344" s="2" t="s">
        <v>17</v>
      </c>
    </row>
    <row r="345" spans="1:7" x14ac:dyDescent="0.15">
      <c r="A345" s="2" t="s">
        <v>1050</v>
      </c>
      <c r="B345" s="2" t="s">
        <v>1051</v>
      </c>
      <c r="C345" s="2" t="s">
        <v>1052</v>
      </c>
      <c r="D345" s="2" t="s">
        <v>10</v>
      </c>
      <c r="E345" s="2" t="s">
        <v>16</v>
      </c>
      <c r="F345" s="3" t="str">
        <f>HYPERLINK("http://ovidsp.ovid.com/ovidweb.cgi?T=JS&amp;NEWS=n&amp;CSC=Y&amp;PAGE=booktext&amp;D=books&amp;AN=01257011$&amp;XPATH=/PG(0)","http://ovidsp.ovid.com/ovidweb.cgi?T=JS&amp;NEWS=n&amp;CSC=Y&amp;PAGE=booktext&amp;D=books&amp;AN=01257011$&amp;XPATH=/PG(0)")</f>
        <v>http://ovidsp.ovid.com/ovidweb.cgi?T=JS&amp;NEWS=n&amp;CSC=Y&amp;PAGE=booktext&amp;D=books&amp;AN=01257011$&amp;XPATH=/PG(0)</v>
      </c>
      <c r="G345" s="2" t="s">
        <v>17</v>
      </c>
    </row>
    <row r="346" spans="1:7" x14ac:dyDescent="0.15">
      <c r="A346" s="2" t="s">
        <v>1053</v>
      </c>
      <c r="B346" s="2" t="s">
        <v>1054</v>
      </c>
      <c r="C346" s="2" t="s">
        <v>1055</v>
      </c>
      <c r="D346" s="2" t="s">
        <v>10</v>
      </c>
      <c r="E346" s="2" t="s">
        <v>95</v>
      </c>
      <c r="F346" s="3" t="str">
        <f>HYPERLINK("http://ovidsp.ovid.com/ovidweb.cgi?T=JS&amp;NEWS=n&amp;CSC=Y&amp;PAGE=booktext&amp;D=books&amp;AN=01382482$&amp;XPATH=/PG(0)","http://ovidsp.ovid.com/ovidweb.cgi?T=JS&amp;NEWS=n&amp;CSC=Y&amp;PAGE=booktext&amp;D=books&amp;AN=01382482$&amp;XPATH=/PG(0)")</f>
        <v>http://ovidsp.ovid.com/ovidweb.cgi?T=JS&amp;NEWS=n&amp;CSC=Y&amp;PAGE=booktext&amp;D=books&amp;AN=01382482$&amp;XPATH=/PG(0)</v>
      </c>
      <c r="G346" s="2" t="s">
        <v>17</v>
      </c>
    </row>
    <row r="347" spans="1:7" x14ac:dyDescent="0.15">
      <c r="A347" s="2" t="s">
        <v>1056</v>
      </c>
      <c r="B347" s="2" t="s">
        <v>1057</v>
      </c>
      <c r="C347" s="2" t="s">
        <v>1058</v>
      </c>
      <c r="D347" s="2" t="s">
        <v>10</v>
      </c>
      <c r="E347" s="2" t="s">
        <v>16</v>
      </c>
      <c r="F347" s="3" t="str">
        <f>HYPERLINK("http://ovidsp.ovid.com/ovidweb.cgi?T=JS&amp;NEWS=n&amp;CSC=Y&amp;PAGE=booktext&amp;D=books&amp;AN=01382809$&amp;XPATH=/PG(0)","http://ovidsp.ovid.com/ovidweb.cgi?T=JS&amp;NEWS=n&amp;CSC=Y&amp;PAGE=booktext&amp;D=books&amp;AN=01382809$&amp;XPATH=/PG(0)")</f>
        <v>http://ovidsp.ovid.com/ovidweb.cgi?T=JS&amp;NEWS=n&amp;CSC=Y&amp;PAGE=booktext&amp;D=books&amp;AN=01382809$&amp;XPATH=/PG(0)</v>
      </c>
      <c r="G347" s="2" t="s">
        <v>12</v>
      </c>
    </row>
    <row r="348" spans="1:7" x14ac:dyDescent="0.15">
      <c r="A348" s="2" t="s">
        <v>1059</v>
      </c>
      <c r="B348" s="2" t="s">
        <v>1060</v>
      </c>
      <c r="C348" s="2" t="s">
        <v>1061</v>
      </c>
      <c r="D348" s="2" t="s">
        <v>10</v>
      </c>
      <c r="E348" s="2" t="s">
        <v>16</v>
      </c>
      <c r="F348" s="3" t="str">
        <f>HYPERLINK("http://ovidsp.ovid.com/ovidweb.cgi?T=JS&amp;NEWS=n&amp;CSC=Y&amp;PAGE=booktext&amp;D=books&amp;AN=01382875$&amp;XPATH=/PG(0)","http://ovidsp.ovid.com/ovidweb.cgi?T=JS&amp;NEWS=n&amp;CSC=Y&amp;PAGE=booktext&amp;D=books&amp;AN=01382875$&amp;XPATH=/PG(0)")</f>
        <v>http://ovidsp.ovid.com/ovidweb.cgi?T=JS&amp;NEWS=n&amp;CSC=Y&amp;PAGE=booktext&amp;D=books&amp;AN=01382875$&amp;XPATH=/PG(0)</v>
      </c>
      <c r="G348" s="2" t="s">
        <v>17</v>
      </c>
    </row>
    <row r="349" spans="1:7" x14ac:dyDescent="0.15">
      <c r="A349" s="2" t="s">
        <v>1062</v>
      </c>
      <c r="B349" s="2" t="s">
        <v>1063</v>
      </c>
      <c r="C349" s="2" t="s">
        <v>1064</v>
      </c>
      <c r="D349" s="2" t="s">
        <v>10</v>
      </c>
      <c r="E349" s="2" t="s">
        <v>16</v>
      </c>
      <c r="F349" s="3" t="str">
        <f>HYPERLINK("http://ovidsp.ovid.com/ovidweb.cgi?T=JS&amp;NEWS=n&amp;CSC=Y&amp;PAGE=booktext&amp;D=books&amp;AN=01382802$&amp;XPATH=/PG(0)","http://ovidsp.ovid.com/ovidweb.cgi?T=JS&amp;NEWS=n&amp;CSC=Y&amp;PAGE=booktext&amp;D=books&amp;AN=01382802$&amp;XPATH=/PG(0)")</f>
        <v>http://ovidsp.ovid.com/ovidweb.cgi?T=JS&amp;NEWS=n&amp;CSC=Y&amp;PAGE=booktext&amp;D=books&amp;AN=01382802$&amp;XPATH=/PG(0)</v>
      </c>
      <c r="G349" s="2" t="s">
        <v>12</v>
      </c>
    </row>
    <row r="350" spans="1:7" x14ac:dyDescent="0.15">
      <c r="A350" s="2" t="s">
        <v>1065</v>
      </c>
      <c r="B350" s="2" t="s">
        <v>1066</v>
      </c>
      <c r="C350" s="2" t="s">
        <v>1067</v>
      </c>
      <c r="D350" s="2" t="s">
        <v>10</v>
      </c>
      <c r="E350" s="2" t="s">
        <v>53</v>
      </c>
      <c r="F350" s="3" t="str">
        <f>HYPERLINK("http://ovidsp.ovid.com/ovidweb.cgi?T=JS&amp;NEWS=n&amp;CSC=Y&amp;PAGE=booktext&amp;D=books&amp;AN=01222997$&amp;XPATH=/PG(0)","http://ovidsp.ovid.com/ovidweb.cgi?T=JS&amp;NEWS=n&amp;CSC=Y&amp;PAGE=booktext&amp;D=books&amp;AN=01222997$&amp;XPATH=/PG(0)")</f>
        <v>http://ovidsp.ovid.com/ovidweb.cgi?T=JS&amp;NEWS=n&amp;CSC=Y&amp;PAGE=booktext&amp;D=books&amp;AN=01222997$&amp;XPATH=/PG(0)</v>
      </c>
      <c r="G350" s="2" t="s">
        <v>17</v>
      </c>
    </row>
    <row r="351" spans="1:7" x14ac:dyDescent="0.15">
      <c r="A351" s="2" t="s">
        <v>1068</v>
      </c>
      <c r="B351" s="2" t="s">
        <v>1069</v>
      </c>
      <c r="C351" s="2" t="s">
        <v>1070</v>
      </c>
      <c r="D351" s="2" t="s">
        <v>1071</v>
      </c>
      <c r="E351" s="2" t="s">
        <v>49</v>
      </c>
      <c r="F351" s="3" t="str">
        <f>HYPERLINK("http://ovidsp.ovid.com/ovidweb.cgi?T=JS&amp;NEWS=n&amp;CSC=Y&amp;PAGE=booktext&amp;D=books&amp;AN=01257012$&amp;XPATH=/PG(0)","http://ovidsp.ovid.com/ovidweb.cgi?T=JS&amp;NEWS=n&amp;CSC=Y&amp;PAGE=booktext&amp;D=books&amp;AN=01257012$&amp;XPATH=/PG(0)")</f>
        <v>http://ovidsp.ovid.com/ovidweb.cgi?T=JS&amp;NEWS=n&amp;CSC=Y&amp;PAGE=booktext&amp;D=books&amp;AN=01257012$&amp;XPATH=/PG(0)</v>
      </c>
      <c r="G351" s="2" t="s">
        <v>17</v>
      </c>
    </row>
    <row r="352" spans="1:7" x14ac:dyDescent="0.15">
      <c r="A352" s="2" t="s">
        <v>1072</v>
      </c>
      <c r="B352" s="2" t="s">
        <v>1073</v>
      </c>
      <c r="C352" s="2" t="s">
        <v>1074</v>
      </c>
      <c r="D352" s="2" t="s">
        <v>10</v>
      </c>
      <c r="E352" s="2" t="s">
        <v>235</v>
      </c>
      <c r="F352" s="3" t="str">
        <f>HYPERLINK("http://ovidsp.ovid.com/ovidweb.cgi?T=JS&amp;NEWS=n&amp;CSC=Y&amp;PAGE=booktext&amp;D=books&amp;AN=01257013$&amp;XPATH=/PG(0)","http://ovidsp.ovid.com/ovidweb.cgi?T=JS&amp;NEWS=n&amp;CSC=Y&amp;PAGE=booktext&amp;D=books&amp;AN=01257013$&amp;XPATH=/PG(0)")</f>
        <v>http://ovidsp.ovid.com/ovidweb.cgi?T=JS&amp;NEWS=n&amp;CSC=Y&amp;PAGE=booktext&amp;D=books&amp;AN=01257013$&amp;XPATH=/PG(0)</v>
      </c>
      <c r="G352" s="2" t="s">
        <v>17</v>
      </c>
    </row>
    <row r="353" spans="1:7" x14ac:dyDescent="0.15">
      <c r="A353" s="2" t="s">
        <v>1075</v>
      </c>
      <c r="B353" s="2" t="s">
        <v>1076</v>
      </c>
      <c r="C353" s="2" t="s">
        <v>1077</v>
      </c>
      <c r="D353" s="2" t="s">
        <v>10</v>
      </c>
      <c r="E353" s="2" t="s">
        <v>95</v>
      </c>
      <c r="F353" s="3" t="str">
        <f>HYPERLINK("http://ovidsp.ovid.com/ovidweb.cgi?T=JS&amp;NEWS=n&amp;CSC=Y&amp;PAGE=booktext&amp;D=books&amp;AN=00139933$&amp;XPATH=/PG(0)","http://ovidsp.ovid.com/ovidweb.cgi?T=JS&amp;NEWS=n&amp;CSC=Y&amp;PAGE=booktext&amp;D=books&amp;AN=00139933$&amp;XPATH=/PG(0)")</f>
        <v>http://ovidsp.ovid.com/ovidweb.cgi?T=JS&amp;NEWS=n&amp;CSC=Y&amp;PAGE=booktext&amp;D=books&amp;AN=00139933$&amp;XPATH=/PG(0)</v>
      </c>
      <c r="G353" s="2" t="s">
        <v>17</v>
      </c>
    </row>
    <row r="354" spans="1:7" x14ac:dyDescent="0.15">
      <c r="A354" s="2" t="s">
        <v>1078</v>
      </c>
      <c r="B354" s="2" t="s">
        <v>1079</v>
      </c>
      <c r="C354" s="2" t="s">
        <v>1080</v>
      </c>
      <c r="D354" s="2" t="s">
        <v>10</v>
      </c>
      <c r="E354" s="2" t="s">
        <v>95</v>
      </c>
      <c r="F354" s="3" t="str">
        <f>HYPERLINK("http://ovidsp.ovid.com/ovidweb.cgi?T=JS&amp;NEWS=n&amp;CSC=Y&amp;PAGE=booktext&amp;D=books&amp;AN=01257015$&amp;XPATH=/PG(0)","http://ovidsp.ovid.com/ovidweb.cgi?T=JS&amp;NEWS=n&amp;CSC=Y&amp;PAGE=booktext&amp;D=books&amp;AN=01257015$&amp;XPATH=/PG(0)")</f>
        <v>http://ovidsp.ovid.com/ovidweb.cgi?T=JS&amp;NEWS=n&amp;CSC=Y&amp;PAGE=booktext&amp;D=books&amp;AN=01257015$&amp;XPATH=/PG(0)</v>
      </c>
      <c r="G354" s="2" t="s">
        <v>17</v>
      </c>
    </row>
    <row r="355" spans="1:7" x14ac:dyDescent="0.15">
      <c r="A355" s="2" t="s">
        <v>1081</v>
      </c>
      <c r="B355" s="2" t="s">
        <v>1082</v>
      </c>
      <c r="C355" s="2" t="s">
        <v>1083</v>
      </c>
      <c r="D355" s="2" t="s">
        <v>10</v>
      </c>
      <c r="E355" s="2" t="s">
        <v>95</v>
      </c>
      <c r="F355" s="3" t="str">
        <f>HYPERLINK("http://ovidsp.ovid.com/ovidweb.cgi?T=JS&amp;NEWS=n&amp;CSC=Y&amp;PAGE=booktext&amp;D=books&amp;AN=01257016$&amp;XPATH=/PG(0)","http://ovidsp.ovid.com/ovidweb.cgi?T=JS&amp;NEWS=n&amp;CSC=Y&amp;PAGE=booktext&amp;D=books&amp;AN=01257016$&amp;XPATH=/PG(0)")</f>
        <v>http://ovidsp.ovid.com/ovidweb.cgi?T=JS&amp;NEWS=n&amp;CSC=Y&amp;PAGE=booktext&amp;D=books&amp;AN=01257016$&amp;XPATH=/PG(0)</v>
      </c>
      <c r="G355" s="2" t="s">
        <v>17</v>
      </c>
    </row>
    <row r="356" spans="1:7" x14ac:dyDescent="0.15">
      <c r="A356" s="2" t="s">
        <v>1084</v>
      </c>
      <c r="B356" s="2" t="s">
        <v>1085</v>
      </c>
      <c r="C356" s="2" t="s">
        <v>1086</v>
      </c>
      <c r="D356" s="2" t="s">
        <v>10</v>
      </c>
      <c r="E356" s="2" t="s">
        <v>45</v>
      </c>
      <c r="F356" s="3" t="str">
        <f>HYPERLINK("http://ovidsp.ovid.com/ovidweb.cgi?T=JS&amp;NEWS=n&amp;CSC=Y&amp;PAGE=booktext&amp;D=books&amp;AN=01276485$&amp;XPATH=/PG(0)","http://ovidsp.ovid.com/ovidweb.cgi?T=JS&amp;NEWS=n&amp;CSC=Y&amp;PAGE=booktext&amp;D=books&amp;AN=01276485$&amp;XPATH=/PG(0)")</f>
        <v>http://ovidsp.ovid.com/ovidweb.cgi?T=JS&amp;NEWS=n&amp;CSC=Y&amp;PAGE=booktext&amp;D=books&amp;AN=01276485$&amp;XPATH=/PG(0)</v>
      </c>
      <c r="G356" s="2" t="s">
        <v>17</v>
      </c>
    </row>
    <row r="357" spans="1:7" x14ac:dyDescent="0.15">
      <c r="A357" s="2" t="s">
        <v>1087</v>
      </c>
      <c r="B357" s="2" t="s">
        <v>1088</v>
      </c>
      <c r="C357" s="2" t="s">
        <v>1089</v>
      </c>
      <c r="D357" s="2" t="s">
        <v>10</v>
      </c>
      <c r="E357" s="2" t="s">
        <v>95</v>
      </c>
      <c r="F357" s="3" t="str">
        <f>HYPERLINK("http://ovidsp.ovid.com/ovidweb.cgi?T=JS&amp;NEWS=n&amp;CSC=Y&amp;PAGE=booktext&amp;D=books&amp;AN=01222998$&amp;XPATH=/PG(0)","http://ovidsp.ovid.com/ovidweb.cgi?T=JS&amp;NEWS=n&amp;CSC=Y&amp;PAGE=booktext&amp;D=books&amp;AN=01222998$&amp;XPATH=/PG(0)")</f>
        <v>http://ovidsp.ovid.com/ovidweb.cgi?T=JS&amp;NEWS=n&amp;CSC=Y&amp;PAGE=booktext&amp;D=books&amp;AN=01222998$&amp;XPATH=/PG(0)</v>
      </c>
      <c r="G357" s="2" t="s">
        <v>17</v>
      </c>
    </row>
    <row r="358" spans="1:7" x14ac:dyDescent="0.15">
      <c r="A358" s="2" t="s">
        <v>1090</v>
      </c>
      <c r="B358" s="2" t="s">
        <v>1091</v>
      </c>
      <c r="C358" s="2" t="s">
        <v>1092</v>
      </c>
      <c r="D358" s="2" t="s">
        <v>10</v>
      </c>
      <c r="E358" s="2" t="s">
        <v>16</v>
      </c>
      <c r="F358" s="3" t="str">
        <f>HYPERLINK("http://ovidsp.ovid.com/ovidweb.cgi?T=JS&amp;NEWS=n&amp;CSC=Y&amp;PAGE=booktext&amp;D=books&amp;AN=01382568$&amp;XPATH=/PG(0)","http://ovidsp.ovid.com/ovidweb.cgi?T=JS&amp;NEWS=n&amp;CSC=Y&amp;PAGE=booktext&amp;D=books&amp;AN=01382568$&amp;XPATH=/PG(0)")</f>
        <v>http://ovidsp.ovid.com/ovidweb.cgi?T=JS&amp;NEWS=n&amp;CSC=Y&amp;PAGE=booktext&amp;D=books&amp;AN=01382568$&amp;XPATH=/PG(0)</v>
      </c>
      <c r="G358" s="2" t="s">
        <v>17</v>
      </c>
    </row>
    <row r="359" spans="1:7" x14ac:dyDescent="0.15">
      <c r="A359" s="2" t="s">
        <v>1093</v>
      </c>
      <c r="B359" s="2" t="s">
        <v>1094</v>
      </c>
      <c r="C359" s="2" t="s">
        <v>1095</v>
      </c>
      <c r="D359" s="2" t="s">
        <v>10</v>
      </c>
      <c r="E359" s="2" t="s">
        <v>16</v>
      </c>
      <c r="F359" s="3" t="str">
        <f>HYPERLINK("http://ovidsp.ovid.com/ovidweb.cgi?T=JS&amp;NEWS=n&amp;CSC=Y&amp;PAGE=booktext&amp;D=books&amp;AN=01279767$&amp;XPATH=/PG(0)","http://ovidsp.ovid.com/ovidweb.cgi?T=JS&amp;NEWS=n&amp;CSC=Y&amp;PAGE=booktext&amp;D=books&amp;AN=01279767$&amp;XPATH=/PG(0)")</f>
        <v>http://ovidsp.ovid.com/ovidweb.cgi?T=JS&amp;NEWS=n&amp;CSC=Y&amp;PAGE=booktext&amp;D=books&amp;AN=01279767$&amp;XPATH=/PG(0)</v>
      </c>
      <c r="G359" s="2" t="s">
        <v>17</v>
      </c>
    </row>
    <row r="360" spans="1:7" x14ac:dyDescent="0.15">
      <c r="A360" s="2" t="s">
        <v>1096</v>
      </c>
      <c r="B360" s="2" t="s">
        <v>1097</v>
      </c>
      <c r="C360" s="2" t="s">
        <v>1098</v>
      </c>
      <c r="D360" s="2" t="s">
        <v>10</v>
      </c>
      <c r="E360" s="2" t="s">
        <v>53</v>
      </c>
      <c r="F360" s="3" t="str">
        <f>HYPERLINK("http://ovidsp.ovid.com/ovidweb.cgi?T=JS&amp;NEWS=n&amp;CSC=Y&amp;PAGE=booktext&amp;D=books&amp;AN=01250445$&amp;XPATH=/PG(0)","http://ovidsp.ovid.com/ovidweb.cgi?T=JS&amp;NEWS=n&amp;CSC=Y&amp;PAGE=booktext&amp;D=books&amp;AN=01250445$&amp;XPATH=/PG(0)")</f>
        <v>http://ovidsp.ovid.com/ovidweb.cgi?T=JS&amp;NEWS=n&amp;CSC=Y&amp;PAGE=booktext&amp;D=books&amp;AN=01250445$&amp;XPATH=/PG(0)</v>
      </c>
      <c r="G360" s="2" t="s">
        <v>17</v>
      </c>
    </row>
    <row r="361" spans="1:7" x14ac:dyDescent="0.15">
      <c r="A361" s="2" t="s">
        <v>1099</v>
      </c>
      <c r="B361" s="2" t="s">
        <v>1100</v>
      </c>
      <c r="C361" s="2" t="s">
        <v>1101</v>
      </c>
      <c r="D361" s="2" t="s">
        <v>10</v>
      </c>
      <c r="E361" s="2" t="s">
        <v>45</v>
      </c>
      <c r="F361" s="3" t="str">
        <f>HYPERLINK("http://ovidsp.ovid.com/ovidweb.cgi?T=JS&amp;NEWS=n&amp;CSC=Y&amp;PAGE=booktext&amp;D=books&amp;AN=00139934$&amp;XPATH=/PG(0)","http://ovidsp.ovid.com/ovidweb.cgi?T=JS&amp;NEWS=n&amp;CSC=Y&amp;PAGE=booktext&amp;D=books&amp;AN=00139934$&amp;XPATH=/PG(0)")</f>
        <v>http://ovidsp.ovid.com/ovidweb.cgi?T=JS&amp;NEWS=n&amp;CSC=Y&amp;PAGE=booktext&amp;D=books&amp;AN=00139934$&amp;XPATH=/PG(0)</v>
      </c>
      <c r="G361" s="2" t="s">
        <v>17</v>
      </c>
    </row>
    <row r="362" spans="1:7" x14ac:dyDescent="0.15">
      <c r="A362" s="2" t="s">
        <v>1102</v>
      </c>
      <c r="B362" s="2" t="s">
        <v>1103</v>
      </c>
      <c r="C362" s="2" t="s">
        <v>1104</v>
      </c>
      <c r="D362" s="2" t="s">
        <v>10</v>
      </c>
      <c r="E362" s="2" t="s">
        <v>45</v>
      </c>
      <c r="F362" s="3" t="str">
        <f>HYPERLINK("http://ovidsp.ovid.com/ovidweb.cgi?T=JS&amp;NEWS=n&amp;CSC=Y&amp;PAGE=booktext&amp;D=books&amp;AN=01279717$&amp;XPATH=/PG(0)","http://ovidsp.ovid.com/ovidweb.cgi?T=JS&amp;NEWS=n&amp;CSC=Y&amp;PAGE=booktext&amp;D=books&amp;AN=01279717$&amp;XPATH=/PG(0)")</f>
        <v>http://ovidsp.ovid.com/ovidweb.cgi?T=JS&amp;NEWS=n&amp;CSC=Y&amp;PAGE=booktext&amp;D=books&amp;AN=01279717$&amp;XPATH=/PG(0)</v>
      </c>
      <c r="G362" s="2" t="s">
        <v>17</v>
      </c>
    </row>
    <row r="363" spans="1:7" x14ac:dyDescent="0.15">
      <c r="A363" s="2" t="s">
        <v>1105</v>
      </c>
      <c r="B363" s="2" t="s">
        <v>1106</v>
      </c>
      <c r="C363" s="2" t="s">
        <v>1107</v>
      </c>
      <c r="D363" s="2" t="s">
        <v>10</v>
      </c>
      <c r="E363" s="2" t="s">
        <v>95</v>
      </c>
      <c r="F363" s="3" t="str">
        <f>HYPERLINK("http://ovidsp.ovid.com/ovidweb.cgi?T=JS&amp;NEWS=n&amp;CSC=Y&amp;PAGE=booktext&amp;D=books&amp;AN=01382570$&amp;XPATH=/PG(0)","http://ovidsp.ovid.com/ovidweb.cgi?T=JS&amp;NEWS=n&amp;CSC=Y&amp;PAGE=booktext&amp;D=books&amp;AN=01382570$&amp;XPATH=/PG(0)")</f>
        <v>http://ovidsp.ovid.com/ovidweb.cgi?T=JS&amp;NEWS=n&amp;CSC=Y&amp;PAGE=booktext&amp;D=books&amp;AN=01382570$&amp;XPATH=/PG(0)</v>
      </c>
      <c r="G363" s="2" t="s">
        <v>17</v>
      </c>
    </row>
    <row r="364" spans="1:7" x14ac:dyDescent="0.15">
      <c r="A364" s="2" t="s">
        <v>1108</v>
      </c>
      <c r="B364" s="2" t="s">
        <v>1109</v>
      </c>
      <c r="C364" s="2" t="s">
        <v>1110</v>
      </c>
      <c r="D364" s="2" t="s">
        <v>1111</v>
      </c>
      <c r="E364" s="2" t="s">
        <v>95</v>
      </c>
      <c r="F364" s="3" t="str">
        <f>HYPERLINK("http://ovidsp.ovid.com/ovidweb.cgi?T=JS&amp;NEWS=n&amp;CSC=Y&amp;PAGE=booktext&amp;D=books&amp;AN=01253101$&amp;XPATH=/PG(0)","http://ovidsp.ovid.com/ovidweb.cgi?T=JS&amp;NEWS=n&amp;CSC=Y&amp;PAGE=booktext&amp;D=books&amp;AN=01253101$&amp;XPATH=/PG(0)")</f>
        <v>http://ovidsp.ovid.com/ovidweb.cgi?T=JS&amp;NEWS=n&amp;CSC=Y&amp;PAGE=booktext&amp;D=books&amp;AN=01253101$&amp;XPATH=/PG(0)</v>
      </c>
      <c r="G364" s="2" t="s">
        <v>12</v>
      </c>
    </row>
    <row r="365" spans="1:7" x14ac:dyDescent="0.15">
      <c r="A365" s="2" t="s">
        <v>1112</v>
      </c>
      <c r="B365" s="2" t="s">
        <v>1113</v>
      </c>
      <c r="C365" s="2" t="s">
        <v>1114</v>
      </c>
      <c r="D365" s="2" t="s">
        <v>10</v>
      </c>
      <c r="E365" s="2" t="s">
        <v>49</v>
      </c>
      <c r="F365" s="3" t="str">
        <f>HYPERLINK("http://ovidsp.ovid.com/ovidweb.cgi?T=JS&amp;NEWS=n&amp;CSC=Y&amp;PAGE=booktext&amp;D=books&amp;AN=01312098$&amp;XPATH=/PG(0)","http://ovidsp.ovid.com/ovidweb.cgi?T=JS&amp;NEWS=n&amp;CSC=Y&amp;PAGE=booktext&amp;D=books&amp;AN=01312098$&amp;XPATH=/PG(0)")</f>
        <v>http://ovidsp.ovid.com/ovidweb.cgi?T=JS&amp;NEWS=n&amp;CSC=Y&amp;PAGE=booktext&amp;D=books&amp;AN=01312098$&amp;XPATH=/PG(0)</v>
      </c>
      <c r="G365" s="2" t="s">
        <v>17</v>
      </c>
    </row>
    <row r="366" spans="1:7" x14ac:dyDescent="0.15">
      <c r="A366" s="2" t="s">
        <v>1115</v>
      </c>
      <c r="B366" s="2" t="s">
        <v>1116</v>
      </c>
      <c r="C366" s="2" t="s">
        <v>1117</v>
      </c>
      <c r="D366" s="2" t="s">
        <v>10</v>
      </c>
      <c r="E366" s="2" t="s">
        <v>16</v>
      </c>
      <c r="F366" s="3" t="str">
        <f>HYPERLINK("http://ovidsp.ovid.com/ovidweb.cgi?T=JS&amp;NEWS=n&amp;CSC=Y&amp;PAGE=booktext&amp;D=books&amp;AN=01382571$&amp;XPATH=/PG(0)","http://ovidsp.ovid.com/ovidweb.cgi?T=JS&amp;NEWS=n&amp;CSC=Y&amp;PAGE=booktext&amp;D=books&amp;AN=01382571$&amp;XPATH=/PG(0)")</f>
        <v>http://ovidsp.ovid.com/ovidweb.cgi?T=JS&amp;NEWS=n&amp;CSC=Y&amp;PAGE=booktext&amp;D=books&amp;AN=01382571$&amp;XPATH=/PG(0)</v>
      </c>
      <c r="G366" s="2" t="s">
        <v>17</v>
      </c>
    </row>
    <row r="367" spans="1:7" x14ac:dyDescent="0.15">
      <c r="A367" s="2" t="s">
        <v>1118</v>
      </c>
      <c r="B367" s="2" t="s">
        <v>1119</v>
      </c>
      <c r="C367" s="2" t="s">
        <v>1120</v>
      </c>
      <c r="D367" s="2" t="s">
        <v>10</v>
      </c>
      <c r="E367" s="2" t="s">
        <v>95</v>
      </c>
      <c r="F367" s="3" t="str">
        <f>HYPERLINK("http://ovidsp.ovid.com/ovidweb.cgi?T=JS&amp;NEWS=n&amp;CSC=Y&amp;PAGE=booktext&amp;D=books&amp;AN=01279706$&amp;XPATH=/PG(0)","http://ovidsp.ovid.com/ovidweb.cgi?T=JS&amp;NEWS=n&amp;CSC=Y&amp;PAGE=booktext&amp;D=books&amp;AN=01279706$&amp;XPATH=/PG(0)")</f>
        <v>http://ovidsp.ovid.com/ovidweb.cgi?T=JS&amp;NEWS=n&amp;CSC=Y&amp;PAGE=booktext&amp;D=books&amp;AN=01279706$&amp;XPATH=/PG(0)</v>
      </c>
      <c r="G367" s="2" t="s">
        <v>17</v>
      </c>
    </row>
    <row r="368" spans="1:7" x14ac:dyDescent="0.15">
      <c r="A368" s="2" t="s">
        <v>1121</v>
      </c>
      <c r="B368" s="2" t="s">
        <v>1122</v>
      </c>
      <c r="C368" s="2" t="s">
        <v>1123</v>
      </c>
      <c r="D368" s="2" t="s">
        <v>10</v>
      </c>
      <c r="E368" s="2" t="s">
        <v>95</v>
      </c>
      <c r="F368" s="3" t="str">
        <f>HYPERLINK("http://ovidsp.ovid.com/ovidweb.cgi?T=JS&amp;NEWS=n&amp;CSC=Y&amp;PAGE=booktext&amp;D=books&amp;AN=01382871$&amp;XPATH=/PG(0)","http://ovidsp.ovid.com/ovidweb.cgi?T=JS&amp;NEWS=n&amp;CSC=Y&amp;PAGE=booktext&amp;D=books&amp;AN=01382871$&amp;XPATH=/PG(0)")</f>
        <v>http://ovidsp.ovid.com/ovidweb.cgi?T=JS&amp;NEWS=n&amp;CSC=Y&amp;PAGE=booktext&amp;D=books&amp;AN=01382871$&amp;XPATH=/PG(0)</v>
      </c>
      <c r="G368" s="2" t="s">
        <v>12</v>
      </c>
    </row>
    <row r="369" spans="1:7" x14ac:dyDescent="0.15">
      <c r="A369" s="2" t="s">
        <v>1124</v>
      </c>
      <c r="B369" s="2" t="s">
        <v>1125</v>
      </c>
      <c r="C369" s="2" t="s">
        <v>1126</v>
      </c>
      <c r="D369" s="2" t="s">
        <v>10</v>
      </c>
      <c r="E369" s="2" t="s">
        <v>16</v>
      </c>
      <c r="F369" s="3" t="str">
        <f>HYPERLINK("http://ovidsp.ovid.com/ovidweb.cgi?T=JS&amp;NEWS=n&amp;CSC=Y&amp;PAGE=booktext&amp;D=books&amp;AN=01382855$&amp;XPATH=/PG(0)","http://ovidsp.ovid.com/ovidweb.cgi?T=JS&amp;NEWS=n&amp;CSC=Y&amp;PAGE=booktext&amp;D=books&amp;AN=01382855$&amp;XPATH=/PG(0)")</f>
        <v>http://ovidsp.ovid.com/ovidweb.cgi?T=JS&amp;NEWS=n&amp;CSC=Y&amp;PAGE=booktext&amp;D=books&amp;AN=01382855$&amp;XPATH=/PG(0)</v>
      </c>
      <c r="G369" s="2" t="s">
        <v>12</v>
      </c>
    </row>
    <row r="370" spans="1:7" x14ac:dyDescent="0.15">
      <c r="A370" s="2" t="s">
        <v>1127</v>
      </c>
      <c r="B370" s="2" t="s">
        <v>1128</v>
      </c>
      <c r="C370" s="2" t="s">
        <v>1129</v>
      </c>
      <c r="D370" s="2" t="s">
        <v>10</v>
      </c>
      <c r="E370" s="2" t="s">
        <v>95</v>
      </c>
      <c r="F370" s="3" t="str">
        <f>HYPERLINK("http://ovidsp.ovid.com/ovidweb.cgi?T=JS&amp;NEWS=n&amp;CSC=Y&amp;PAGE=booktext&amp;D=books&amp;AN=00139936$&amp;XPATH=/PG(0)","http://ovidsp.ovid.com/ovidweb.cgi?T=JS&amp;NEWS=n&amp;CSC=Y&amp;PAGE=booktext&amp;D=books&amp;AN=00139936$&amp;XPATH=/PG(0)")</f>
        <v>http://ovidsp.ovid.com/ovidweb.cgi?T=JS&amp;NEWS=n&amp;CSC=Y&amp;PAGE=booktext&amp;D=books&amp;AN=00139936$&amp;XPATH=/PG(0)</v>
      </c>
      <c r="G370" s="2" t="s">
        <v>17</v>
      </c>
    </row>
    <row r="371" spans="1:7" x14ac:dyDescent="0.15">
      <c r="A371" s="2" t="s">
        <v>1130</v>
      </c>
      <c r="B371" s="2" t="s">
        <v>1131</v>
      </c>
      <c r="C371" s="2" t="s">
        <v>1132</v>
      </c>
      <c r="D371" s="2" t="s">
        <v>10</v>
      </c>
      <c r="E371" s="2" t="s">
        <v>16</v>
      </c>
      <c r="F371" s="3" t="str">
        <f>HYPERLINK("http://ovidsp.ovid.com/ovidweb.cgi?T=JS&amp;NEWS=n&amp;CSC=Y&amp;PAGE=booktext&amp;D=books&amp;AN=01382804$&amp;XPATH=/PG(0)","http://ovidsp.ovid.com/ovidweb.cgi?T=JS&amp;NEWS=n&amp;CSC=Y&amp;PAGE=booktext&amp;D=books&amp;AN=01382804$&amp;XPATH=/PG(0)")</f>
        <v>http://ovidsp.ovid.com/ovidweb.cgi?T=JS&amp;NEWS=n&amp;CSC=Y&amp;PAGE=booktext&amp;D=books&amp;AN=01382804$&amp;XPATH=/PG(0)</v>
      </c>
      <c r="G371" s="2" t="s">
        <v>12</v>
      </c>
    </row>
    <row r="372" spans="1:7" x14ac:dyDescent="0.15">
      <c r="A372" s="2" t="s">
        <v>1133</v>
      </c>
      <c r="B372" s="2" t="s">
        <v>1134</v>
      </c>
      <c r="C372" s="2" t="s">
        <v>1135</v>
      </c>
      <c r="D372" s="2" t="s">
        <v>10</v>
      </c>
      <c r="E372" s="2" t="s">
        <v>16</v>
      </c>
      <c r="F372" s="3" t="str">
        <f>HYPERLINK("http://ovidsp.ovid.com/ovidweb.cgi?T=JS&amp;NEWS=n&amp;CSC=Y&amp;PAGE=booktext&amp;D=books&amp;AN=01337669$&amp;XPATH=/PG(0)","http://ovidsp.ovid.com/ovidweb.cgi?T=JS&amp;NEWS=n&amp;CSC=Y&amp;PAGE=booktext&amp;D=books&amp;AN=01337669$&amp;XPATH=/PG(0)")</f>
        <v>http://ovidsp.ovid.com/ovidweb.cgi?T=JS&amp;NEWS=n&amp;CSC=Y&amp;PAGE=booktext&amp;D=books&amp;AN=01337669$&amp;XPATH=/PG(0)</v>
      </c>
      <c r="G372" s="2" t="s">
        <v>17</v>
      </c>
    </row>
    <row r="373" spans="1:7" x14ac:dyDescent="0.15">
      <c r="A373" s="2" t="s">
        <v>1136</v>
      </c>
      <c r="B373" s="2" t="s">
        <v>1137</v>
      </c>
      <c r="C373" s="2" t="s">
        <v>1138</v>
      </c>
      <c r="D373" s="2" t="s">
        <v>10</v>
      </c>
      <c r="E373" s="2" t="s">
        <v>16</v>
      </c>
      <c r="F373" s="3" t="str">
        <f>HYPERLINK("http://ovidsp.ovid.com/ovidweb.cgi?T=JS&amp;NEWS=n&amp;CSC=Y&amp;PAGE=booktext&amp;D=books&amp;AN=01279748$&amp;XPATH=/PG(0)","http://ovidsp.ovid.com/ovidweb.cgi?T=JS&amp;NEWS=n&amp;CSC=Y&amp;PAGE=booktext&amp;D=books&amp;AN=01279748$&amp;XPATH=/PG(0)")</f>
        <v>http://ovidsp.ovid.com/ovidweb.cgi?T=JS&amp;NEWS=n&amp;CSC=Y&amp;PAGE=booktext&amp;D=books&amp;AN=01279748$&amp;XPATH=/PG(0)</v>
      </c>
      <c r="G373" s="2" t="s">
        <v>17</v>
      </c>
    </row>
    <row r="374" spans="1:7" x14ac:dyDescent="0.15">
      <c r="A374" s="2" t="s">
        <v>1139</v>
      </c>
      <c r="B374" s="2" t="s">
        <v>1140</v>
      </c>
      <c r="C374" s="2" t="s">
        <v>1141</v>
      </c>
      <c r="D374" s="2" t="s">
        <v>10</v>
      </c>
      <c r="E374" s="2" t="s">
        <v>45</v>
      </c>
      <c r="F374" s="3" t="str">
        <f>HYPERLINK("http://ovidsp.ovid.com/ovidweb.cgi?T=JS&amp;NEWS=n&amp;CSC=Y&amp;PAGE=booktext&amp;D=books&amp;AN=01279749$&amp;XPATH=/PG(0)","http://ovidsp.ovid.com/ovidweb.cgi?T=JS&amp;NEWS=n&amp;CSC=Y&amp;PAGE=booktext&amp;D=books&amp;AN=01279749$&amp;XPATH=/PG(0)")</f>
        <v>http://ovidsp.ovid.com/ovidweb.cgi?T=JS&amp;NEWS=n&amp;CSC=Y&amp;PAGE=booktext&amp;D=books&amp;AN=01279749$&amp;XPATH=/PG(0)</v>
      </c>
      <c r="G374" s="2" t="s">
        <v>17</v>
      </c>
    </row>
    <row r="375" spans="1:7" x14ac:dyDescent="0.15">
      <c r="A375" s="2" t="s">
        <v>1142</v>
      </c>
      <c r="B375" s="2" t="s">
        <v>1143</v>
      </c>
      <c r="C375" s="2" t="s">
        <v>1144</v>
      </c>
      <c r="D375" s="2" t="s">
        <v>10</v>
      </c>
      <c r="E375" s="2" t="s">
        <v>16</v>
      </c>
      <c r="F375" s="3" t="str">
        <f>HYPERLINK("http://ovidsp.ovid.com/ovidweb.cgi?T=JS&amp;NEWS=n&amp;CSC=Y&amp;PAGE=booktext&amp;D=books&amp;AN=01382572$&amp;XPATH=/PG(0)","http://ovidsp.ovid.com/ovidweb.cgi?T=JS&amp;NEWS=n&amp;CSC=Y&amp;PAGE=booktext&amp;D=books&amp;AN=01382572$&amp;XPATH=/PG(0)")</f>
        <v>http://ovidsp.ovid.com/ovidweb.cgi?T=JS&amp;NEWS=n&amp;CSC=Y&amp;PAGE=booktext&amp;D=books&amp;AN=01382572$&amp;XPATH=/PG(0)</v>
      </c>
      <c r="G375" s="2" t="s">
        <v>17</v>
      </c>
    </row>
    <row r="376" spans="1:7" x14ac:dyDescent="0.15">
      <c r="A376" s="2" t="s">
        <v>1145</v>
      </c>
      <c r="B376" s="2" t="s">
        <v>1146</v>
      </c>
      <c r="C376" s="2" t="s">
        <v>1147</v>
      </c>
      <c r="D376" s="2" t="s">
        <v>10</v>
      </c>
      <c r="E376" s="2" t="s">
        <v>53</v>
      </c>
      <c r="F376" s="3" t="str">
        <f>HYPERLINK("http://ovidsp.ovid.com/ovidweb.cgi?T=JS&amp;NEWS=n&amp;CSC=Y&amp;PAGE=booktext&amp;D=books&amp;AN=01382573$&amp;XPATH=/PG(0)","http://ovidsp.ovid.com/ovidweb.cgi?T=JS&amp;NEWS=n&amp;CSC=Y&amp;PAGE=booktext&amp;D=books&amp;AN=01382573$&amp;XPATH=/PG(0)")</f>
        <v>http://ovidsp.ovid.com/ovidweb.cgi?T=JS&amp;NEWS=n&amp;CSC=Y&amp;PAGE=booktext&amp;D=books&amp;AN=01382573$&amp;XPATH=/PG(0)</v>
      </c>
      <c r="G376" s="2" t="s">
        <v>17</v>
      </c>
    </row>
    <row r="377" spans="1:7" x14ac:dyDescent="0.15">
      <c r="A377" s="2" t="s">
        <v>1148</v>
      </c>
      <c r="B377" s="2" t="s">
        <v>1149</v>
      </c>
      <c r="C377" s="2" t="s">
        <v>1150</v>
      </c>
      <c r="D377" s="2" t="s">
        <v>10</v>
      </c>
      <c r="E377" s="2" t="s">
        <v>16</v>
      </c>
      <c r="F377" s="3" t="str">
        <f>HYPERLINK("http://ovidsp.ovid.com/ovidweb.cgi?T=JS&amp;NEWS=n&amp;CSC=Y&amp;PAGE=booktext&amp;D=books&amp;AN=01382569$&amp;XPATH=/PG(0)","http://ovidsp.ovid.com/ovidweb.cgi?T=JS&amp;NEWS=n&amp;CSC=Y&amp;PAGE=booktext&amp;D=books&amp;AN=01382569$&amp;XPATH=/PG(0)")</f>
        <v>http://ovidsp.ovid.com/ovidweb.cgi?T=JS&amp;NEWS=n&amp;CSC=Y&amp;PAGE=booktext&amp;D=books&amp;AN=01382569$&amp;XPATH=/PG(0)</v>
      </c>
      <c r="G377" s="2" t="s">
        <v>17</v>
      </c>
    </row>
    <row r="378" spans="1:7" x14ac:dyDescent="0.15">
      <c r="A378" s="2" t="s">
        <v>1151</v>
      </c>
      <c r="B378" s="2" t="s">
        <v>1152</v>
      </c>
      <c r="C378" s="2" t="s">
        <v>1153</v>
      </c>
      <c r="D378" s="2" t="s">
        <v>10</v>
      </c>
      <c r="E378" s="2" t="s">
        <v>95</v>
      </c>
      <c r="F378" s="3" t="str">
        <f>HYPERLINK("http://ovidsp.ovid.com/ovidweb.cgi?T=JS&amp;NEWS=n&amp;CSC=Y&amp;PAGE=booktext&amp;D=books&amp;AN=01382483$&amp;XPATH=/PG(0)","http://ovidsp.ovid.com/ovidweb.cgi?T=JS&amp;NEWS=n&amp;CSC=Y&amp;PAGE=booktext&amp;D=books&amp;AN=01382483$&amp;XPATH=/PG(0)")</f>
        <v>http://ovidsp.ovid.com/ovidweb.cgi?T=JS&amp;NEWS=n&amp;CSC=Y&amp;PAGE=booktext&amp;D=books&amp;AN=01382483$&amp;XPATH=/PG(0)</v>
      </c>
      <c r="G378" s="2" t="s">
        <v>17</v>
      </c>
    </row>
    <row r="379" spans="1:7" x14ac:dyDescent="0.15">
      <c r="A379" s="2" t="s">
        <v>1154</v>
      </c>
      <c r="B379" s="2" t="s">
        <v>1155</v>
      </c>
      <c r="C379" s="2" t="s">
        <v>1156</v>
      </c>
      <c r="D379" s="2" t="s">
        <v>10</v>
      </c>
      <c r="E379" s="2" t="s">
        <v>95</v>
      </c>
      <c r="F379" s="3" t="str">
        <f>HYPERLINK("http://ovidsp.ovid.com/ovidweb.cgi?T=JS&amp;NEWS=n&amp;CSC=Y&amp;PAGE=booktext&amp;D=books&amp;AN=01223021$&amp;XPATH=/PG(0)","http://ovidsp.ovid.com/ovidweb.cgi?T=JS&amp;NEWS=n&amp;CSC=Y&amp;PAGE=booktext&amp;D=books&amp;AN=01223021$&amp;XPATH=/PG(0)")</f>
        <v>http://ovidsp.ovid.com/ovidweb.cgi?T=JS&amp;NEWS=n&amp;CSC=Y&amp;PAGE=booktext&amp;D=books&amp;AN=01223021$&amp;XPATH=/PG(0)</v>
      </c>
      <c r="G379" s="2" t="s">
        <v>17</v>
      </c>
    </row>
    <row r="380" spans="1:7" x14ac:dyDescent="0.15">
      <c r="A380" s="2" t="s">
        <v>1157</v>
      </c>
      <c r="B380" s="2" t="s">
        <v>1158</v>
      </c>
      <c r="C380" s="2" t="s">
        <v>1159</v>
      </c>
      <c r="D380" s="2" t="s">
        <v>10</v>
      </c>
      <c r="E380" s="2" t="s">
        <v>49</v>
      </c>
      <c r="F380" s="3" t="str">
        <f>HYPERLINK("http://ovidsp.ovid.com/ovidweb.cgi?T=JS&amp;NEWS=n&amp;CSC=Y&amp;PAGE=booktext&amp;D=books&amp;AN=00139938$&amp;XPATH=/PG(0)","http://ovidsp.ovid.com/ovidweb.cgi?T=JS&amp;NEWS=n&amp;CSC=Y&amp;PAGE=booktext&amp;D=books&amp;AN=00139938$&amp;XPATH=/PG(0)")</f>
        <v>http://ovidsp.ovid.com/ovidweb.cgi?T=JS&amp;NEWS=n&amp;CSC=Y&amp;PAGE=booktext&amp;D=books&amp;AN=00139938$&amp;XPATH=/PG(0)</v>
      </c>
      <c r="G380" s="2" t="s">
        <v>12</v>
      </c>
    </row>
    <row r="381" spans="1:7" x14ac:dyDescent="0.15">
      <c r="A381" s="2" t="s">
        <v>1160</v>
      </c>
      <c r="B381" s="2" t="s">
        <v>1161</v>
      </c>
      <c r="C381" s="2" t="s">
        <v>1162</v>
      </c>
      <c r="D381" s="2" t="s">
        <v>10</v>
      </c>
      <c r="E381" s="2" t="s">
        <v>16</v>
      </c>
      <c r="F381" s="3" t="str">
        <f>HYPERLINK("http://ovidsp.ovid.com/ovidweb.cgi?T=JS&amp;NEWS=n&amp;CSC=Y&amp;PAGE=booktext&amp;D=books&amp;AN=01382812$&amp;XPATH=/PG(0)","http://ovidsp.ovid.com/ovidweb.cgi?T=JS&amp;NEWS=n&amp;CSC=Y&amp;PAGE=booktext&amp;D=books&amp;AN=01382812$&amp;XPATH=/PG(0)")</f>
        <v>http://ovidsp.ovid.com/ovidweb.cgi?T=JS&amp;NEWS=n&amp;CSC=Y&amp;PAGE=booktext&amp;D=books&amp;AN=01382812$&amp;XPATH=/PG(0)</v>
      </c>
      <c r="G381" s="2" t="s">
        <v>12</v>
      </c>
    </row>
    <row r="382" spans="1:7" x14ac:dyDescent="0.15">
      <c r="A382" s="2" t="s">
        <v>1163</v>
      </c>
      <c r="B382" s="2" t="s">
        <v>1164</v>
      </c>
      <c r="C382" s="2" t="s">
        <v>1165</v>
      </c>
      <c r="D382" s="2" t="s">
        <v>10</v>
      </c>
      <c r="E382" s="2" t="s">
        <v>45</v>
      </c>
      <c r="F382" s="3" t="str">
        <f>HYPERLINK("http://ovidsp.ovid.com/ovidweb.cgi?T=JS&amp;NEWS=n&amp;CSC=Y&amp;PAGE=booktext&amp;D=books&amp;AN=01382531$&amp;XPATH=/PG(0)","http://ovidsp.ovid.com/ovidweb.cgi?T=JS&amp;NEWS=n&amp;CSC=Y&amp;PAGE=booktext&amp;D=books&amp;AN=01382531$&amp;XPATH=/PG(0)")</f>
        <v>http://ovidsp.ovid.com/ovidweb.cgi?T=JS&amp;NEWS=n&amp;CSC=Y&amp;PAGE=booktext&amp;D=books&amp;AN=01382531$&amp;XPATH=/PG(0)</v>
      </c>
      <c r="G382" s="2" t="s">
        <v>12</v>
      </c>
    </row>
    <row r="383" spans="1:7" x14ac:dyDescent="0.15">
      <c r="A383" s="2" t="s">
        <v>1166</v>
      </c>
      <c r="B383" s="2" t="s">
        <v>1167</v>
      </c>
      <c r="C383" s="2" t="s">
        <v>1168</v>
      </c>
      <c r="D383" s="2" t="s">
        <v>10</v>
      </c>
      <c r="E383" s="2" t="s">
        <v>95</v>
      </c>
      <c r="F383" s="3" t="str">
        <f>HYPERLINK("http://ovidsp.ovid.com/ovidweb.cgi?T=JS&amp;NEWS=n&amp;CSC=Y&amp;PAGE=booktext&amp;D=books&amp;AN=01279718$&amp;XPATH=/PG(0)","http://ovidsp.ovid.com/ovidweb.cgi?T=JS&amp;NEWS=n&amp;CSC=Y&amp;PAGE=booktext&amp;D=books&amp;AN=01279718$&amp;XPATH=/PG(0)")</f>
        <v>http://ovidsp.ovid.com/ovidweb.cgi?T=JS&amp;NEWS=n&amp;CSC=Y&amp;PAGE=booktext&amp;D=books&amp;AN=01279718$&amp;XPATH=/PG(0)</v>
      </c>
      <c r="G383" s="2" t="s">
        <v>17</v>
      </c>
    </row>
    <row r="384" spans="1:7" x14ac:dyDescent="0.15">
      <c r="A384" s="2" t="s">
        <v>1169</v>
      </c>
      <c r="B384" s="2" t="s">
        <v>1170</v>
      </c>
      <c r="C384" s="2" t="s">
        <v>1171</v>
      </c>
      <c r="D384" s="2" t="s">
        <v>10</v>
      </c>
      <c r="E384" s="2" t="s">
        <v>622</v>
      </c>
      <c r="F384" s="3" t="str">
        <f>HYPERLINK("http://ovidsp.ovid.com/ovidweb.cgi?T=JS&amp;NEWS=n&amp;CSC=Y&amp;PAGE=booktext&amp;D=books&amp;AN=01273074$&amp;XPATH=/PG(0)","http://ovidsp.ovid.com/ovidweb.cgi?T=JS&amp;NEWS=n&amp;CSC=Y&amp;PAGE=booktext&amp;D=books&amp;AN=01273074$&amp;XPATH=/PG(0)")</f>
        <v>http://ovidsp.ovid.com/ovidweb.cgi?T=JS&amp;NEWS=n&amp;CSC=Y&amp;PAGE=booktext&amp;D=books&amp;AN=01273074$&amp;XPATH=/PG(0)</v>
      </c>
      <c r="G384" s="2" t="s">
        <v>17</v>
      </c>
    </row>
    <row r="385" spans="1:7" x14ac:dyDescent="0.15">
      <c r="A385" s="2" t="s">
        <v>1169</v>
      </c>
      <c r="B385" s="2" t="s">
        <v>1172</v>
      </c>
      <c r="C385" s="2" t="s">
        <v>1173</v>
      </c>
      <c r="D385" s="2" t="s">
        <v>10</v>
      </c>
      <c r="E385" s="2" t="s">
        <v>251</v>
      </c>
      <c r="F385" s="3" t="str">
        <f>HYPERLINK("http://ovidsp.ovid.com/ovidweb.cgi?T=JS&amp;NEWS=n&amp;CSC=Y&amp;PAGE=booktext&amp;D=books&amp;AN=00140031$&amp;XPATH=/PG(0)","http://ovidsp.ovid.com/ovidweb.cgi?T=JS&amp;NEWS=n&amp;CSC=Y&amp;PAGE=booktext&amp;D=books&amp;AN=00140031$&amp;XPATH=/PG(0)")</f>
        <v>http://ovidsp.ovid.com/ovidweb.cgi?T=JS&amp;NEWS=n&amp;CSC=Y&amp;PAGE=booktext&amp;D=books&amp;AN=00140031$&amp;XPATH=/PG(0)</v>
      </c>
      <c r="G385" s="2" t="s">
        <v>12</v>
      </c>
    </row>
    <row r="386" spans="1:7" x14ac:dyDescent="0.15">
      <c r="A386" s="2" t="s">
        <v>1174</v>
      </c>
      <c r="B386" s="2" t="s">
        <v>1175</v>
      </c>
      <c r="C386" s="2" t="s">
        <v>1176</v>
      </c>
      <c r="D386" s="2" t="s">
        <v>1177</v>
      </c>
      <c r="E386" s="2" t="s">
        <v>45</v>
      </c>
      <c r="F386" s="3" t="str">
        <f>HYPERLINK("http://ovidsp.ovid.com/ovidweb.cgi?T=JS&amp;NEWS=n&amp;CSC=Y&amp;PAGE=booktext&amp;D=books&amp;AN=01223022$&amp;XPATH=/PG(0)","http://ovidsp.ovid.com/ovidweb.cgi?T=JS&amp;NEWS=n&amp;CSC=Y&amp;PAGE=booktext&amp;D=books&amp;AN=01223022$&amp;XPATH=/PG(0)")</f>
        <v>http://ovidsp.ovid.com/ovidweb.cgi?T=JS&amp;NEWS=n&amp;CSC=Y&amp;PAGE=booktext&amp;D=books&amp;AN=01223022$&amp;XPATH=/PG(0)</v>
      </c>
      <c r="G386" s="2" t="s">
        <v>12</v>
      </c>
    </row>
    <row r="387" spans="1:7" x14ac:dyDescent="0.15">
      <c r="A387" s="2" t="s">
        <v>1178</v>
      </c>
      <c r="B387" s="2" t="s">
        <v>1179</v>
      </c>
      <c r="C387" s="2" t="s">
        <v>1180</v>
      </c>
      <c r="D387" s="2" t="s">
        <v>10</v>
      </c>
      <c r="E387" s="2" t="s">
        <v>16</v>
      </c>
      <c r="F387" s="3" t="str">
        <f>HYPERLINK("http://ovidsp.ovid.com/ovidweb.cgi?T=JS&amp;NEWS=n&amp;CSC=Y&amp;PAGE=booktext&amp;D=books&amp;AN=01382840$&amp;XPATH=/PG(0)","http://ovidsp.ovid.com/ovidweb.cgi?T=JS&amp;NEWS=n&amp;CSC=Y&amp;PAGE=booktext&amp;D=books&amp;AN=01382840$&amp;XPATH=/PG(0)")</f>
        <v>http://ovidsp.ovid.com/ovidweb.cgi?T=JS&amp;NEWS=n&amp;CSC=Y&amp;PAGE=booktext&amp;D=books&amp;AN=01382840$&amp;XPATH=/PG(0)</v>
      </c>
      <c r="G387" s="2" t="s">
        <v>12</v>
      </c>
    </row>
    <row r="388" spans="1:7" x14ac:dyDescent="0.15">
      <c r="A388" s="2" t="s">
        <v>1181</v>
      </c>
      <c r="B388" s="2" t="s">
        <v>1182</v>
      </c>
      <c r="C388" s="2" t="s">
        <v>1183</v>
      </c>
      <c r="D388" s="2" t="s">
        <v>10</v>
      </c>
      <c r="E388" s="2" t="s">
        <v>49</v>
      </c>
      <c r="F388" s="3" t="str">
        <f>HYPERLINK("http://ovidsp.ovid.com/ovidweb.cgi?T=JS&amp;NEWS=n&amp;CSC=Y&amp;PAGE=booktext&amp;D=books&amp;AN=01382731$&amp;XPATH=/PG(0)","http://ovidsp.ovid.com/ovidweb.cgi?T=JS&amp;NEWS=n&amp;CSC=Y&amp;PAGE=booktext&amp;D=books&amp;AN=01382731$&amp;XPATH=/PG(0)")</f>
        <v>http://ovidsp.ovid.com/ovidweb.cgi?T=JS&amp;NEWS=n&amp;CSC=Y&amp;PAGE=booktext&amp;D=books&amp;AN=01382731$&amp;XPATH=/PG(0)</v>
      </c>
      <c r="G388" s="2" t="s">
        <v>12</v>
      </c>
    </row>
    <row r="389" spans="1:7" x14ac:dyDescent="0.15">
      <c r="A389" s="2" t="s">
        <v>1184</v>
      </c>
      <c r="B389" s="2" t="s">
        <v>1185</v>
      </c>
      <c r="C389" s="2" t="s">
        <v>1186</v>
      </c>
      <c r="D389" s="2" t="s">
        <v>10</v>
      </c>
      <c r="E389" s="2" t="s">
        <v>16</v>
      </c>
      <c r="F389" s="3" t="str">
        <f>HYPERLINK("http://ovidsp.ovid.com/ovidweb.cgi?T=JS&amp;NEWS=n&amp;CSC=Y&amp;PAGE=booktext&amp;D=books&amp;AN=01382580$&amp;XPATH=/PG(0)","http://ovidsp.ovid.com/ovidweb.cgi?T=JS&amp;NEWS=n&amp;CSC=Y&amp;PAGE=booktext&amp;D=books&amp;AN=01382580$&amp;XPATH=/PG(0)")</f>
        <v>http://ovidsp.ovid.com/ovidweb.cgi?T=JS&amp;NEWS=n&amp;CSC=Y&amp;PAGE=booktext&amp;D=books&amp;AN=01382580$&amp;XPATH=/PG(0)</v>
      </c>
      <c r="G389" s="2" t="s">
        <v>17</v>
      </c>
    </row>
    <row r="390" spans="1:7" x14ac:dyDescent="0.15">
      <c r="A390" s="2" t="s">
        <v>1187</v>
      </c>
      <c r="B390" s="2" t="s">
        <v>1188</v>
      </c>
      <c r="C390" s="2" t="s">
        <v>1189</v>
      </c>
      <c r="D390" s="2" t="s">
        <v>10</v>
      </c>
      <c r="E390" s="2" t="s">
        <v>49</v>
      </c>
      <c r="F390" s="3" t="str">
        <f>HYPERLINK("http://ovidsp.ovid.com/ovidweb.cgi?T=JS&amp;NEWS=n&amp;CSC=Y&amp;PAGE=booktext&amp;D=books&amp;AN=01337256$&amp;XPATH=/PG(0)","http://ovidsp.ovid.com/ovidweb.cgi?T=JS&amp;NEWS=n&amp;CSC=Y&amp;PAGE=booktext&amp;D=books&amp;AN=01337256$&amp;XPATH=/PG(0)")</f>
        <v>http://ovidsp.ovid.com/ovidweb.cgi?T=JS&amp;NEWS=n&amp;CSC=Y&amp;PAGE=booktext&amp;D=books&amp;AN=01337256$&amp;XPATH=/PG(0)</v>
      </c>
      <c r="G390" s="2" t="s">
        <v>17</v>
      </c>
    </row>
    <row r="391" spans="1:7" x14ac:dyDescent="0.15">
      <c r="A391" s="2" t="s">
        <v>1190</v>
      </c>
      <c r="B391" s="2" t="s">
        <v>1191</v>
      </c>
      <c r="C391" s="2" t="s">
        <v>1192</v>
      </c>
      <c r="D391" s="2" t="s">
        <v>10</v>
      </c>
      <c r="E391" s="2" t="s">
        <v>53</v>
      </c>
      <c r="F391" s="3" t="str">
        <f>HYPERLINK("http://ovidsp.ovid.com/ovidweb.cgi?T=JS&amp;NEWS=n&amp;CSC=Y&amp;PAGE=booktext&amp;D=books&amp;AN=00140032$&amp;XPATH=/PG(0)","http://ovidsp.ovid.com/ovidweb.cgi?T=JS&amp;NEWS=n&amp;CSC=Y&amp;PAGE=booktext&amp;D=books&amp;AN=00140032$&amp;XPATH=/PG(0)")</f>
        <v>http://ovidsp.ovid.com/ovidweb.cgi?T=JS&amp;NEWS=n&amp;CSC=Y&amp;PAGE=booktext&amp;D=books&amp;AN=00140032$&amp;XPATH=/PG(0)</v>
      </c>
      <c r="G391" s="2" t="s">
        <v>12</v>
      </c>
    </row>
    <row r="392" spans="1:7" x14ac:dyDescent="0.15">
      <c r="A392" s="2" t="s">
        <v>1193</v>
      </c>
      <c r="B392" s="2" t="s">
        <v>1194</v>
      </c>
      <c r="C392" s="2" t="s">
        <v>1195</v>
      </c>
      <c r="D392" s="2" t="s">
        <v>1196</v>
      </c>
      <c r="E392" s="2" t="s">
        <v>235</v>
      </c>
      <c r="F392" s="3" t="str">
        <f>HYPERLINK("http://ovidsp.ovid.com/ovidweb.cgi?T=JS&amp;NEWS=n&amp;CSC=Y&amp;PAGE=booktext&amp;D=books&amp;AN=01273128$&amp;XPATH=/PG(0)","http://ovidsp.ovid.com/ovidweb.cgi?T=JS&amp;NEWS=n&amp;CSC=Y&amp;PAGE=booktext&amp;D=books&amp;AN=01273128$&amp;XPATH=/PG(0)")</f>
        <v>http://ovidsp.ovid.com/ovidweb.cgi?T=JS&amp;NEWS=n&amp;CSC=Y&amp;PAGE=booktext&amp;D=books&amp;AN=01273128$&amp;XPATH=/PG(0)</v>
      </c>
      <c r="G392" s="2" t="s">
        <v>17</v>
      </c>
    </row>
    <row r="393" spans="1:7" x14ac:dyDescent="0.15">
      <c r="A393" s="2" t="s">
        <v>1197</v>
      </c>
      <c r="B393" s="2" t="s">
        <v>1198</v>
      </c>
      <c r="C393" s="2" t="s">
        <v>1199</v>
      </c>
      <c r="D393" s="2" t="s">
        <v>10</v>
      </c>
      <c r="E393" s="2" t="s">
        <v>16</v>
      </c>
      <c r="F393" s="3" t="str">
        <f>HYPERLINK("http://ovidsp.ovid.com/ovidweb.cgi?T=JS&amp;NEWS=n&amp;CSC=Y&amp;PAGE=booktext&amp;D=books&amp;AN=01382682$&amp;XPATH=/PG(0)","http://ovidsp.ovid.com/ovidweb.cgi?T=JS&amp;NEWS=n&amp;CSC=Y&amp;PAGE=booktext&amp;D=books&amp;AN=01382682$&amp;XPATH=/PG(0)")</f>
        <v>http://ovidsp.ovid.com/ovidweb.cgi?T=JS&amp;NEWS=n&amp;CSC=Y&amp;PAGE=booktext&amp;D=books&amp;AN=01382682$&amp;XPATH=/PG(0)</v>
      </c>
      <c r="G393" s="2" t="s">
        <v>17</v>
      </c>
    </row>
    <row r="394" spans="1:7" x14ac:dyDescent="0.15">
      <c r="A394" s="2" t="s">
        <v>1200</v>
      </c>
      <c r="B394" s="2" t="s">
        <v>1201</v>
      </c>
      <c r="C394" s="2" t="s">
        <v>1202</v>
      </c>
      <c r="D394" s="2" t="s">
        <v>10</v>
      </c>
      <c r="E394" s="2" t="s">
        <v>16</v>
      </c>
      <c r="F394" s="3" t="str">
        <f>HYPERLINK("http://ovidsp.ovid.com/ovidweb.cgi?T=JS&amp;NEWS=n&amp;CSC=Y&amp;PAGE=booktext&amp;D=books&amp;AN=01337671$&amp;XPATH=/PG(0)","http://ovidsp.ovid.com/ovidweb.cgi?T=JS&amp;NEWS=n&amp;CSC=Y&amp;PAGE=booktext&amp;D=books&amp;AN=01337671$&amp;XPATH=/PG(0)")</f>
        <v>http://ovidsp.ovid.com/ovidweb.cgi?T=JS&amp;NEWS=n&amp;CSC=Y&amp;PAGE=booktext&amp;D=books&amp;AN=01337671$&amp;XPATH=/PG(0)</v>
      </c>
      <c r="G394" s="2" t="s">
        <v>17</v>
      </c>
    </row>
    <row r="395" spans="1:7" x14ac:dyDescent="0.15">
      <c r="A395" s="2" t="s">
        <v>1203</v>
      </c>
      <c r="B395" s="2" t="s">
        <v>1204</v>
      </c>
      <c r="C395" s="2" t="s">
        <v>1205</v>
      </c>
      <c r="D395" s="2" t="s">
        <v>10</v>
      </c>
      <c r="E395" s="2" t="s">
        <v>11</v>
      </c>
      <c r="F395" s="3" t="str">
        <f>HYPERLINK("http://ovidsp.ovid.com/ovidweb.cgi?T=JS&amp;NEWS=n&amp;CSC=Y&amp;PAGE=booktext&amp;D=books&amp;AN=01223023$&amp;XPATH=/PG(0)","http://ovidsp.ovid.com/ovidweb.cgi?T=JS&amp;NEWS=n&amp;CSC=Y&amp;PAGE=booktext&amp;D=books&amp;AN=01223023$&amp;XPATH=/PG(0)")</f>
        <v>http://ovidsp.ovid.com/ovidweb.cgi?T=JS&amp;NEWS=n&amp;CSC=Y&amp;PAGE=booktext&amp;D=books&amp;AN=01223023$&amp;XPATH=/PG(0)</v>
      </c>
      <c r="G395" s="2" t="s">
        <v>17</v>
      </c>
    </row>
    <row r="396" spans="1:7" x14ac:dyDescent="0.15">
      <c r="A396" s="2" t="s">
        <v>1206</v>
      </c>
      <c r="B396" s="2" t="s">
        <v>1207</v>
      </c>
      <c r="C396" s="2" t="s">
        <v>1208</v>
      </c>
      <c r="D396" s="2" t="s">
        <v>10</v>
      </c>
      <c r="E396" s="2" t="s">
        <v>95</v>
      </c>
      <c r="F396" s="3" t="str">
        <f>HYPERLINK("http://ovidsp.ovid.com/ovidweb.cgi?T=JS&amp;NEWS=n&amp;CSC=Y&amp;PAGE=booktext&amp;D=books&amp;AN=01273073$&amp;XPATH=/PG(0)","http://ovidsp.ovid.com/ovidweb.cgi?T=JS&amp;NEWS=n&amp;CSC=Y&amp;PAGE=booktext&amp;D=books&amp;AN=01273073$&amp;XPATH=/PG(0)")</f>
        <v>http://ovidsp.ovid.com/ovidweb.cgi?T=JS&amp;NEWS=n&amp;CSC=Y&amp;PAGE=booktext&amp;D=books&amp;AN=01273073$&amp;XPATH=/PG(0)</v>
      </c>
      <c r="G396" s="2" t="s">
        <v>17</v>
      </c>
    </row>
    <row r="397" spans="1:7" x14ac:dyDescent="0.15">
      <c r="A397" s="2" t="s">
        <v>1206</v>
      </c>
      <c r="B397" s="2" t="s">
        <v>1209</v>
      </c>
      <c r="C397" s="2" t="s">
        <v>1210</v>
      </c>
      <c r="D397" s="2" t="s">
        <v>10</v>
      </c>
      <c r="E397" s="2" t="s">
        <v>53</v>
      </c>
      <c r="F397" s="3" t="str">
        <f>HYPERLINK("http://ovidsp.ovid.com/ovidweb.cgi?T=JS&amp;NEWS=n&amp;CSC=Y&amp;PAGE=booktext&amp;D=books&amp;AN=01787250$&amp;XPATH=/PG(0)","http://ovidsp.ovid.com/ovidweb.cgi?T=JS&amp;NEWS=n&amp;CSC=Y&amp;PAGE=booktext&amp;D=books&amp;AN=01787250$&amp;XPATH=/PG(0)")</f>
        <v>http://ovidsp.ovid.com/ovidweb.cgi?T=JS&amp;NEWS=n&amp;CSC=Y&amp;PAGE=booktext&amp;D=books&amp;AN=01787250$&amp;XPATH=/PG(0)</v>
      </c>
      <c r="G397" s="2" t="s">
        <v>17</v>
      </c>
    </row>
    <row r="398" spans="1:7" x14ac:dyDescent="0.15">
      <c r="A398" s="2" t="s">
        <v>1211</v>
      </c>
      <c r="B398" s="2" t="s">
        <v>1212</v>
      </c>
      <c r="C398" s="2" t="s">
        <v>1213</v>
      </c>
      <c r="D398" s="2" t="s">
        <v>10</v>
      </c>
      <c r="E398" s="2" t="s">
        <v>49</v>
      </c>
      <c r="F398" s="3" t="str">
        <f>HYPERLINK("http://ovidsp.ovid.com/ovidweb.cgi?T=JS&amp;NEWS=n&amp;CSC=Y&amp;PAGE=booktext&amp;D=books&amp;AN=01257017$&amp;XPATH=/PG(0)","http://ovidsp.ovid.com/ovidweb.cgi?T=JS&amp;NEWS=n&amp;CSC=Y&amp;PAGE=booktext&amp;D=books&amp;AN=01257017$&amp;XPATH=/PG(0)")</f>
        <v>http://ovidsp.ovid.com/ovidweb.cgi?T=JS&amp;NEWS=n&amp;CSC=Y&amp;PAGE=booktext&amp;D=books&amp;AN=01257017$&amp;XPATH=/PG(0)</v>
      </c>
      <c r="G398" s="2" t="s">
        <v>17</v>
      </c>
    </row>
    <row r="399" spans="1:7" x14ac:dyDescent="0.15">
      <c r="A399" s="2" t="s">
        <v>1214</v>
      </c>
      <c r="B399" s="2" t="s">
        <v>1215</v>
      </c>
      <c r="C399" s="2" t="s">
        <v>1216</v>
      </c>
      <c r="D399" s="2" t="s">
        <v>10</v>
      </c>
      <c r="E399" s="2" t="s">
        <v>269</v>
      </c>
      <c r="F399" s="3" t="str">
        <f>HYPERLINK("http://ovidsp.ovid.com/ovidweb.cgi?T=JS&amp;NEWS=n&amp;CSC=Y&amp;PAGE=booktext&amp;D=books&amp;AN=01222898$&amp;XPATH=/PG(0)","http://ovidsp.ovid.com/ovidweb.cgi?T=JS&amp;NEWS=n&amp;CSC=Y&amp;PAGE=booktext&amp;D=books&amp;AN=01222898$&amp;XPATH=/PG(0)")</f>
        <v>http://ovidsp.ovid.com/ovidweb.cgi?T=JS&amp;NEWS=n&amp;CSC=Y&amp;PAGE=booktext&amp;D=books&amp;AN=01222898$&amp;XPATH=/PG(0)</v>
      </c>
      <c r="G399" s="2" t="s">
        <v>17</v>
      </c>
    </row>
    <row r="400" spans="1:7" x14ac:dyDescent="0.15">
      <c r="A400" s="2" t="s">
        <v>1217</v>
      </c>
      <c r="B400" s="2" t="s">
        <v>1218</v>
      </c>
      <c r="C400" s="2" t="s">
        <v>1219</v>
      </c>
      <c r="D400" s="2" t="s">
        <v>10</v>
      </c>
      <c r="E400" s="2" t="s">
        <v>16</v>
      </c>
      <c r="F400" s="3" t="str">
        <f>HYPERLINK("http://ovidsp.ovid.com/ovidweb.cgi?T=JS&amp;NEWS=n&amp;CSC=Y&amp;PAGE=booktext&amp;D=books&amp;AN=01382827$&amp;XPATH=/PG(0)","http://ovidsp.ovid.com/ovidweb.cgi?T=JS&amp;NEWS=n&amp;CSC=Y&amp;PAGE=booktext&amp;D=books&amp;AN=01382827$&amp;XPATH=/PG(0)")</f>
        <v>http://ovidsp.ovid.com/ovidweb.cgi?T=JS&amp;NEWS=n&amp;CSC=Y&amp;PAGE=booktext&amp;D=books&amp;AN=01382827$&amp;XPATH=/PG(0)</v>
      </c>
      <c r="G400" s="2" t="s">
        <v>12</v>
      </c>
    </row>
    <row r="401" spans="1:7" x14ac:dyDescent="0.15">
      <c r="A401" s="2" t="s">
        <v>1220</v>
      </c>
      <c r="B401" s="2" t="s">
        <v>1221</v>
      </c>
      <c r="C401" s="2" t="s">
        <v>1222</v>
      </c>
      <c r="D401" s="2" t="s">
        <v>10</v>
      </c>
      <c r="E401" s="2" t="s">
        <v>16</v>
      </c>
      <c r="F401" s="3" t="str">
        <f>HYPERLINK("http://ovidsp.ovid.com/ovidweb.cgi?T=JS&amp;NEWS=n&amp;CSC=Y&amp;PAGE=booktext&amp;D=books&amp;AN=01382828$&amp;XPATH=/PG(0)","http://ovidsp.ovid.com/ovidweb.cgi?T=JS&amp;NEWS=n&amp;CSC=Y&amp;PAGE=booktext&amp;D=books&amp;AN=01382828$&amp;XPATH=/PG(0)")</f>
        <v>http://ovidsp.ovid.com/ovidweb.cgi?T=JS&amp;NEWS=n&amp;CSC=Y&amp;PAGE=booktext&amp;D=books&amp;AN=01382828$&amp;XPATH=/PG(0)</v>
      </c>
      <c r="G401" s="2" t="s">
        <v>12</v>
      </c>
    </row>
    <row r="402" spans="1:7" x14ac:dyDescent="0.15">
      <c r="A402" s="2" t="s">
        <v>1223</v>
      </c>
      <c r="B402" s="2" t="s">
        <v>1224</v>
      </c>
      <c r="C402" s="2" t="s">
        <v>1225</v>
      </c>
      <c r="D402" s="2" t="s">
        <v>10</v>
      </c>
      <c r="E402" s="2" t="s">
        <v>16</v>
      </c>
      <c r="F402" s="3" t="str">
        <f>HYPERLINK("http://ovidsp.ovid.com/ovidweb.cgi?T=JS&amp;NEWS=n&amp;CSC=Y&amp;PAGE=booktext&amp;D=books&amp;AN=01382825$&amp;XPATH=/PG(0)","http://ovidsp.ovid.com/ovidweb.cgi?T=JS&amp;NEWS=n&amp;CSC=Y&amp;PAGE=booktext&amp;D=books&amp;AN=01382825$&amp;XPATH=/PG(0)")</f>
        <v>http://ovidsp.ovid.com/ovidweb.cgi?T=JS&amp;NEWS=n&amp;CSC=Y&amp;PAGE=booktext&amp;D=books&amp;AN=01382825$&amp;XPATH=/PG(0)</v>
      </c>
      <c r="G402" s="2" t="s">
        <v>12</v>
      </c>
    </row>
    <row r="403" spans="1:7" x14ac:dyDescent="0.15">
      <c r="A403" s="2" t="s">
        <v>1226</v>
      </c>
      <c r="B403" s="2" t="s">
        <v>1227</v>
      </c>
      <c r="C403" s="2" t="s">
        <v>1228</v>
      </c>
      <c r="D403" s="2" t="s">
        <v>10</v>
      </c>
      <c r="E403" s="2" t="s">
        <v>16</v>
      </c>
      <c r="F403" s="3" t="str">
        <f>HYPERLINK("http://ovidsp.ovid.com/ovidweb.cgi?T=JS&amp;NEWS=n&amp;CSC=Y&amp;PAGE=booktext&amp;D=books&amp;AN=01382826$&amp;XPATH=/PG(0)","http://ovidsp.ovid.com/ovidweb.cgi?T=JS&amp;NEWS=n&amp;CSC=Y&amp;PAGE=booktext&amp;D=books&amp;AN=01382826$&amp;XPATH=/PG(0)")</f>
        <v>http://ovidsp.ovid.com/ovidweb.cgi?T=JS&amp;NEWS=n&amp;CSC=Y&amp;PAGE=booktext&amp;D=books&amp;AN=01382826$&amp;XPATH=/PG(0)</v>
      </c>
      <c r="G403" s="2" t="s">
        <v>12</v>
      </c>
    </row>
    <row r="404" spans="1:7" x14ac:dyDescent="0.15">
      <c r="A404" s="2" t="s">
        <v>1229</v>
      </c>
      <c r="B404" s="2" t="s">
        <v>1230</v>
      </c>
      <c r="C404" s="2" t="s">
        <v>1231</v>
      </c>
      <c r="D404" s="2" t="s">
        <v>10</v>
      </c>
      <c r="E404" s="2" t="s">
        <v>49</v>
      </c>
      <c r="F404" s="3" t="str">
        <f>HYPERLINK("http://ovidsp.ovid.com/ovidweb.cgi?T=JS&amp;NEWS=n&amp;CSC=Y&amp;PAGE=booktext&amp;D=books&amp;AN=01382484$&amp;XPATH=/PG(0)","http://ovidsp.ovid.com/ovidweb.cgi?T=JS&amp;NEWS=n&amp;CSC=Y&amp;PAGE=booktext&amp;D=books&amp;AN=01382484$&amp;XPATH=/PG(0)")</f>
        <v>http://ovidsp.ovid.com/ovidweb.cgi?T=JS&amp;NEWS=n&amp;CSC=Y&amp;PAGE=booktext&amp;D=books&amp;AN=01382484$&amp;XPATH=/PG(0)</v>
      </c>
      <c r="G404" s="2" t="s">
        <v>17</v>
      </c>
    </row>
    <row r="405" spans="1:7" x14ac:dyDescent="0.15">
      <c r="A405" s="2" t="s">
        <v>1232</v>
      </c>
      <c r="B405" s="2" t="s">
        <v>1233</v>
      </c>
      <c r="C405" s="2" t="s">
        <v>1234</v>
      </c>
      <c r="D405" s="2" t="s">
        <v>10</v>
      </c>
      <c r="E405" s="2" t="s">
        <v>622</v>
      </c>
      <c r="F405" s="3" t="str">
        <f>HYPERLINK("http://ovidsp.ovid.com/ovidweb.cgi?T=JS&amp;NEWS=n&amp;CSC=Y&amp;PAGE=booktext&amp;D=books&amp;AN=01279708$&amp;XPATH=/PG(0)","http://ovidsp.ovid.com/ovidweb.cgi?T=JS&amp;NEWS=n&amp;CSC=Y&amp;PAGE=booktext&amp;D=books&amp;AN=01279708$&amp;XPATH=/PG(0)")</f>
        <v>http://ovidsp.ovid.com/ovidweb.cgi?T=JS&amp;NEWS=n&amp;CSC=Y&amp;PAGE=booktext&amp;D=books&amp;AN=01279708$&amp;XPATH=/PG(0)</v>
      </c>
      <c r="G405" s="2" t="s">
        <v>12</v>
      </c>
    </row>
    <row r="406" spans="1:7" x14ac:dyDescent="0.15">
      <c r="A406" s="2" t="s">
        <v>1235</v>
      </c>
      <c r="B406" s="2" t="s">
        <v>1236</v>
      </c>
      <c r="C406" s="2" t="s">
        <v>1237</v>
      </c>
      <c r="D406" s="2" t="s">
        <v>10</v>
      </c>
      <c r="E406" s="2" t="s">
        <v>49</v>
      </c>
      <c r="F406" s="3" t="str">
        <f>HYPERLINK("http://ovidsp.ovid.com/ovidweb.cgi?T=JS&amp;NEWS=n&amp;CSC=Y&amp;PAGE=booktext&amp;D=books&amp;AN=01382648$&amp;XPATH=/PG(0)","http://ovidsp.ovid.com/ovidweb.cgi?T=JS&amp;NEWS=n&amp;CSC=Y&amp;PAGE=booktext&amp;D=books&amp;AN=01382648$&amp;XPATH=/PG(0)")</f>
        <v>http://ovidsp.ovid.com/ovidweb.cgi?T=JS&amp;NEWS=n&amp;CSC=Y&amp;PAGE=booktext&amp;D=books&amp;AN=01382648$&amp;XPATH=/PG(0)</v>
      </c>
      <c r="G406" s="2" t="s">
        <v>17</v>
      </c>
    </row>
    <row r="407" spans="1:7" x14ac:dyDescent="0.15">
      <c r="A407" s="2" t="s">
        <v>1238</v>
      </c>
      <c r="B407" s="2" t="s">
        <v>1239</v>
      </c>
      <c r="C407" s="2" t="s">
        <v>1240</v>
      </c>
      <c r="D407" s="2" t="s">
        <v>10</v>
      </c>
      <c r="E407" s="2" t="s">
        <v>1241</v>
      </c>
      <c r="F407" s="3" t="str">
        <f>HYPERLINK("http://ovidsp.ovid.com/ovidweb.cgi?T=JS&amp;NEWS=n&amp;CSC=Y&amp;PAGE=booktext&amp;D=books&amp;AN=00139940$&amp;XPATH=/PG(0)","http://ovidsp.ovid.com/ovidweb.cgi?T=JS&amp;NEWS=n&amp;CSC=Y&amp;PAGE=booktext&amp;D=books&amp;AN=00139940$&amp;XPATH=/PG(0)")</f>
        <v>http://ovidsp.ovid.com/ovidweb.cgi?T=JS&amp;NEWS=n&amp;CSC=Y&amp;PAGE=booktext&amp;D=books&amp;AN=00139940$&amp;XPATH=/PG(0)</v>
      </c>
      <c r="G407" s="2" t="s">
        <v>17</v>
      </c>
    </row>
    <row r="408" spans="1:7" x14ac:dyDescent="0.15">
      <c r="A408" s="2" t="s">
        <v>1242</v>
      </c>
      <c r="B408" s="2" t="s">
        <v>1243</v>
      </c>
      <c r="C408" s="2" t="s">
        <v>1244</v>
      </c>
      <c r="D408" s="2" t="s">
        <v>10</v>
      </c>
      <c r="E408" s="2" t="s">
        <v>53</v>
      </c>
      <c r="F408" s="3" t="str">
        <f>HYPERLINK("http://ovidsp.ovid.com/ovidweb.cgi?T=JS&amp;NEWS=n&amp;CSC=Y&amp;PAGE=booktext&amp;D=books&amp;AN=01382524$&amp;XPATH=/PG(0)","http://ovidsp.ovid.com/ovidweb.cgi?T=JS&amp;NEWS=n&amp;CSC=Y&amp;PAGE=booktext&amp;D=books&amp;AN=01382524$&amp;XPATH=/PG(0)")</f>
        <v>http://ovidsp.ovid.com/ovidweb.cgi?T=JS&amp;NEWS=n&amp;CSC=Y&amp;PAGE=booktext&amp;D=books&amp;AN=01382524$&amp;XPATH=/PG(0)</v>
      </c>
      <c r="G408" s="2" t="s">
        <v>17</v>
      </c>
    </row>
    <row r="409" spans="1:7" x14ac:dyDescent="0.15">
      <c r="A409" s="2" t="s">
        <v>1245</v>
      </c>
      <c r="B409" s="2" t="s">
        <v>1246</v>
      </c>
      <c r="C409" s="2" t="s">
        <v>1247</v>
      </c>
      <c r="D409" s="2" t="s">
        <v>10</v>
      </c>
      <c r="E409" s="2" t="s">
        <v>45</v>
      </c>
      <c r="F409" s="3" t="str">
        <f>HYPERLINK("http://ovidsp.ovid.com/ovidweb.cgi?T=JS&amp;NEWS=n&amp;CSC=Y&amp;PAGE=booktext&amp;D=books&amp;AN=01382582$&amp;XPATH=/PG(0)","http://ovidsp.ovid.com/ovidweb.cgi?T=JS&amp;NEWS=n&amp;CSC=Y&amp;PAGE=booktext&amp;D=books&amp;AN=01382582$&amp;XPATH=/PG(0)")</f>
        <v>http://ovidsp.ovid.com/ovidweb.cgi?T=JS&amp;NEWS=n&amp;CSC=Y&amp;PAGE=booktext&amp;D=books&amp;AN=01382582$&amp;XPATH=/PG(0)</v>
      </c>
      <c r="G409" s="2" t="s">
        <v>17</v>
      </c>
    </row>
    <row r="410" spans="1:7" x14ac:dyDescent="0.15">
      <c r="A410" s="2" t="s">
        <v>1248</v>
      </c>
      <c r="B410" s="2" t="s">
        <v>1249</v>
      </c>
      <c r="C410" s="2" t="s">
        <v>1250</v>
      </c>
      <c r="D410" s="2" t="s">
        <v>10</v>
      </c>
      <c r="E410" s="2" t="s">
        <v>16</v>
      </c>
      <c r="F410" s="3" t="str">
        <f>HYPERLINK("http://ovidsp.ovid.com/ovidweb.cgi?T=JS&amp;NEWS=n&amp;CSC=Y&amp;PAGE=booktext&amp;D=books&amp;AN=01279768$&amp;XPATH=/PG(0)","http://ovidsp.ovid.com/ovidweb.cgi?T=JS&amp;NEWS=n&amp;CSC=Y&amp;PAGE=booktext&amp;D=books&amp;AN=01279768$&amp;XPATH=/PG(0)")</f>
        <v>http://ovidsp.ovid.com/ovidweb.cgi?T=JS&amp;NEWS=n&amp;CSC=Y&amp;PAGE=booktext&amp;D=books&amp;AN=01279768$&amp;XPATH=/PG(0)</v>
      </c>
      <c r="G410" s="2" t="s">
        <v>17</v>
      </c>
    </row>
    <row r="411" spans="1:7" x14ac:dyDescent="0.15">
      <c r="A411" s="2" t="s">
        <v>1251</v>
      </c>
      <c r="B411" s="2" t="s">
        <v>1252</v>
      </c>
      <c r="C411" s="2" t="s">
        <v>1253</v>
      </c>
      <c r="D411" s="2" t="s">
        <v>10</v>
      </c>
      <c r="E411" s="2" t="s">
        <v>606</v>
      </c>
      <c r="F411" s="3" t="str">
        <f>HYPERLINK("http://ovidsp.ovid.com/ovidweb.cgi?T=JS&amp;NEWS=n&amp;CSC=Y&amp;PAGE=booktext&amp;D=books&amp;AN=01337349$&amp;XPATH=/PG(0)","http://ovidsp.ovid.com/ovidweb.cgi?T=JS&amp;NEWS=n&amp;CSC=Y&amp;PAGE=booktext&amp;D=books&amp;AN=01337349$&amp;XPATH=/PG(0)")</f>
        <v>http://ovidsp.ovid.com/ovidweb.cgi?T=JS&amp;NEWS=n&amp;CSC=Y&amp;PAGE=booktext&amp;D=books&amp;AN=01337349$&amp;XPATH=/PG(0)</v>
      </c>
      <c r="G411" s="2" t="s">
        <v>17</v>
      </c>
    </row>
    <row r="412" spans="1:7" x14ac:dyDescent="0.15">
      <c r="A412" s="2" t="s">
        <v>1254</v>
      </c>
      <c r="B412" s="2" t="s">
        <v>1255</v>
      </c>
      <c r="C412" s="2" t="s">
        <v>1256</v>
      </c>
      <c r="D412" s="2" t="s">
        <v>10</v>
      </c>
      <c r="E412" s="2" t="s">
        <v>1241</v>
      </c>
      <c r="F412" s="3" t="str">
        <f>HYPERLINK("http://ovidsp.ovid.com/ovidweb.cgi?T=JS&amp;NEWS=n&amp;CSC=Y&amp;PAGE=booktext&amp;D=books&amp;AN=01223024$&amp;XPATH=/PG(0)","http://ovidsp.ovid.com/ovidweb.cgi?T=JS&amp;NEWS=n&amp;CSC=Y&amp;PAGE=booktext&amp;D=books&amp;AN=01223024$&amp;XPATH=/PG(0)")</f>
        <v>http://ovidsp.ovid.com/ovidweb.cgi?T=JS&amp;NEWS=n&amp;CSC=Y&amp;PAGE=booktext&amp;D=books&amp;AN=01223024$&amp;XPATH=/PG(0)</v>
      </c>
      <c r="G412" s="2" t="s">
        <v>17</v>
      </c>
    </row>
    <row r="413" spans="1:7" x14ac:dyDescent="0.15">
      <c r="A413" s="2" t="s">
        <v>1257</v>
      </c>
      <c r="B413" s="2" t="s">
        <v>1258</v>
      </c>
      <c r="C413" s="2" t="s">
        <v>1259</v>
      </c>
      <c r="D413" s="2" t="s">
        <v>10</v>
      </c>
      <c r="E413" s="2" t="s">
        <v>622</v>
      </c>
      <c r="F413" s="3" t="str">
        <f>HYPERLINK("http://ovidsp.ovid.com/ovidweb.cgi?T=JS&amp;NEWS=n&amp;CSC=Y&amp;PAGE=booktext&amp;D=books&amp;AN=00140035$&amp;XPATH=/PG(0)","http://ovidsp.ovid.com/ovidweb.cgi?T=JS&amp;NEWS=n&amp;CSC=Y&amp;PAGE=booktext&amp;D=books&amp;AN=00140035$&amp;XPATH=/PG(0)")</f>
        <v>http://ovidsp.ovid.com/ovidweb.cgi?T=JS&amp;NEWS=n&amp;CSC=Y&amp;PAGE=booktext&amp;D=books&amp;AN=00140035$&amp;XPATH=/PG(0)</v>
      </c>
      <c r="G413" s="2" t="s">
        <v>12</v>
      </c>
    </row>
    <row r="414" spans="1:7" x14ac:dyDescent="0.15">
      <c r="A414" s="2" t="s">
        <v>1260</v>
      </c>
      <c r="B414" s="2" t="s">
        <v>1261</v>
      </c>
      <c r="C414" s="2" t="s">
        <v>1262</v>
      </c>
      <c r="D414" s="2" t="s">
        <v>10</v>
      </c>
      <c r="E414" s="2" t="s">
        <v>95</v>
      </c>
      <c r="F414" s="3" t="str">
        <f>HYPERLINK("http://ovidsp.ovid.com/ovidweb.cgi?T=JS&amp;NEWS=n&amp;CSC=Y&amp;PAGE=booktext&amp;D=books&amp;AN=01382845$&amp;XPATH=/PG(0)","http://ovidsp.ovid.com/ovidweb.cgi?T=JS&amp;NEWS=n&amp;CSC=Y&amp;PAGE=booktext&amp;D=books&amp;AN=01382845$&amp;XPATH=/PG(0)")</f>
        <v>http://ovidsp.ovid.com/ovidweb.cgi?T=JS&amp;NEWS=n&amp;CSC=Y&amp;PAGE=booktext&amp;D=books&amp;AN=01382845$&amp;XPATH=/PG(0)</v>
      </c>
      <c r="G414" s="2" t="s">
        <v>12</v>
      </c>
    </row>
    <row r="415" spans="1:7" x14ac:dyDescent="0.15">
      <c r="A415" s="2" t="s">
        <v>1263</v>
      </c>
      <c r="B415" s="2" t="s">
        <v>1264</v>
      </c>
      <c r="C415" s="2" t="s">
        <v>1265</v>
      </c>
      <c r="D415" s="2" t="s">
        <v>10</v>
      </c>
      <c r="E415" s="2" t="s">
        <v>16</v>
      </c>
      <c r="F415" s="3" t="str">
        <f>HYPERLINK("http://ovidsp.ovid.com/ovidweb.cgi?T=JS&amp;NEWS=n&amp;CSC=Y&amp;PAGE=booktext&amp;D=books&amp;AN=01382806$&amp;XPATH=/PG(0)","http://ovidsp.ovid.com/ovidweb.cgi?T=JS&amp;NEWS=n&amp;CSC=Y&amp;PAGE=booktext&amp;D=books&amp;AN=01382806$&amp;XPATH=/PG(0)")</f>
        <v>http://ovidsp.ovid.com/ovidweb.cgi?T=JS&amp;NEWS=n&amp;CSC=Y&amp;PAGE=booktext&amp;D=books&amp;AN=01382806$&amp;XPATH=/PG(0)</v>
      </c>
      <c r="G415" s="2" t="s">
        <v>12</v>
      </c>
    </row>
    <row r="416" spans="1:7" x14ac:dyDescent="0.15">
      <c r="A416" s="2" t="s">
        <v>1266</v>
      </c>
      <c r="B416" s="2" t="s">
        <v>1267</v>
      </c>
      <c r="C416" s="2" t="s">
        <v>1268</v>
      </c>
      <c r="D416" s="2" t="s">
        <v>10</v>
      </c>
      <c r="E416" s="2" t="s">
        <v>16</v>
      </c>
      <c r="F416" s="3" t="str">
        <f>HYPERLINK("http://ovidsp.ovid.com/ovidweb.cgi?T=JS&amp;NEWS=n&amp;CSC=Y&amp;PAGE=booktext&amp;D=books&amp;AN=01273322$&amp;XPATH=/PG(0)","http://ovidsp.ovid.com/ovidweb.cgi?T=JS&amp;NEWS=n&amp;CSC=Y&amp;PAGE=booktext&amp;D=books&amp;AN=01273322$&amp;XPATH=/PG(0)")</f>
        <v>http://ovidsp.ovid.com/ovidweb.cgi?T=JS&amp;NEWS=n&amp;CSC=Y&amp;PAGE=booktext&amp;D=books&amp;AN=01273322$&amp;XPATH=/PG(0)</v>
      </c>
      <c r="G416" s="2" t="s">
        <v>12</v>
      </c>
    </row>
    <row r="417" spans="1:7" x14ac:dyDescent="0.15">
      <c r="A417" s="2" t="s">
        <v>1269</v>
      </c>
      <c r="B417" s="2" t="s">
        <v>1270</v>
      </c>
      <c r="C417" s="2" t="s">
        <v>1271</v>
      </c>
      <c r="D417" s="2" t="s">
        <v>10</v>
      </c>
      <c r="E417" s="2" t="s">
        <v>16</v>
      </c>
      <c r="F417" s="3" t="str">
        <f>HYPERLINK("http://ovidsp.ovid.com/ovidweb.cgi?T=JS&amp;NEWS=n&amp;CSC=Y&amp;PAGE=booktext&amp;D=books&amp;AN=01382808$&amp;XPATH=/PG(0)","http://ovidsp.ovid.com/ovidweb.cgi?T=JS&amp;NEWS=n&amp;CSC=Y&amp;PAGE=booktext&amp;D=books&amp;AN=01382808$&amp;XPATH=/PG(0)")</f>
        <v>http://ovidsp.ovid.com/ovidweb.cgi?T=JS&amp;NEWS=n&amp;CSC=Y&amp;PAGE=booktext&amp;D=books&amp;AN=01382808$&amp;XPATH=/PG(0)</v>
      </c>
      <c r="G417" s="2" t="s">
        <v>12</v>
      </c>
    </row>
    <row r="418" spans="1:7" x14ac:dyDescent="0.15">
      <c r="A418" s="2" t="s">
        <v>1272</v>
      </c>
      <c r="B418" s="2" t="s">
        <v>1273</v>
      </c>
      <c r="C418" s="2" t="s">
        <v>1274</v>
      </c>
      <c r="D418" s="2" t="s">
        <v>10</v>
      </c>
      <c r="E418" s="2" t="s">
        <v>16</v>
      </c>
      <c r="F418" s="3" t="str">
        <f>HYPERLINK("http://ovidsp.ovid.com/ovidweb.cgi?T=JS&amp;NEWS=n&amp;CSC=Y&amp;PAGE=booktext&amp;D=books&amp;AN=01382810$&amp;XPATH=/PG(0)","http://ovidsp.ovid.com/ovidweb.cgi?T=JS&amp;NEWS=n&amp;CSC=Y&amp;PAGE=booktext&amp;D=books&amp;AN=01382810$&amp;XPATH=/PG(0)")</f>
        <v>http://ovidsp.ovid.com/ovidweb.cgi?T=JS&amp;NEWS=n&amp;CSC=Y&amp;PAGE=booktext&amp;D=books&amp;AN=01382810$&amp;XPATH=/PG(0)</v>
      </c>
      <c r="G418" s="2" t="s">
        <v>12</v>
      </c>
    </row>
    <row r="419" spans="1:7" x14ac:dyDescent="0.15">
      <c r="A419" s="2" t="s">
        <v>1275</v>
      </c>
      <c r="B419" s="2" t="s">
        <v>1276</v>
      </c>
      <c r="C419" s="2" t="s">
        <v>1277</v>
      </c>
      <c r="D419" s="2" t="s">
        <v>10</v>
      </c>
      <c r="E419" s="2" t="s">
        <v>16</v>
      </c>
      <c r="F419" s="3" t="str">
        <f>HYPERLINK("http://ovidsp.ovid.com/ovidweb.cgi?T=JS&amp;NEWS=n&amp;CSC=Y&amp;PAGE=booktext&amp;D=books&amp;AN=01382821$&amp;XPATH=/PG(0)","http://ovidsp.ovid.com/ovidweb.cgi?T=JS&amp;NEWS=n&amp;CSC=Y&amp;PAGE=booktext&amp;D=books&amp;AN=01382821$&amp;XPATH=/PG(0)")</f>
        <v>http://ovidsp.ovid.com/ovidweb.cgi?T=JS&amp;NEWS=n&amp;CSC=Y&amp;PAGE=booktext&amp;D=books&amp;AN=01382821$&amp;XPATH=/PG(0)</v>
      </c>
      <c r="G419" s="2" t="s">
        <v>12</v>
      </c>
    </row>
    <row r="420" spans="1:7" x14ac:dyDescent="0.15">
      <c r="A420" s="2" t="s">
        <v>1278</v>
      </c>
      <c r="B420" s="2" t="s">
        <v>1279</v>
      </c>
      <c r="C420" s="2" t="s">
        <v>1280</v>
      </c>
      <c r="D420" s="2" t="s">
        <v>10</v>
      </c>
      <c r="E420" s="2" t="s">
        <v>16</v>
      </c>
      <c r="F420" s="3" t="str">
        <f>HYPERLINK("http://ovidsp.ovid.com/ovidweb.cgi?T=JS&amp;NEWS=n&amp;CSC=Y&amp;PAGE=booktext&amp;D=books&amp;AN=01382822$&amp;XPATH=/PG(0)","http://ovidsp.ovid.com/ovidweb.cgi?T=JS&amp;NEWS=n&amp;CSC=Y&amp;PAGE=booktext&amp;D=books&amp;AN=01382822$&amp;XPATH=/PG(0)")</f>
        <v>http://ovidsp.ovid.com/ovidweb.cgi?T=JS&amp;NEWS=n&amp;CSC=Y&amp;PAGE=booktext&amp;D=books&amp;AN=01382822$&amp;XPATH=/PG(0)</v>
      </c>
      <c r="G420" s="2" t="s">
        <v>12</v>
      </c>
    </row>
    <row r="421" spans="1:7" x14ac:dyDescent="0.15">
      <c r="A421" s="2" t="s">
        <v>1281</v>
      </c>
      <c r="B421" s="2" t="s">
        <v>1282</v>
      </c>
      <c r="C421" s="2" t="s">
        <v>1283</v>
      </c>
      <c r="D421" s="2" t="s">
        <v>10</v>
      </c>
      <c r="E421" s="2" t="s">
        <v>16</v>
      </c>
      <c r="F421" s="3" t="str">
        <f>HYPERLINK("http://ovidsp.ovid.com/ovidweb.cgi?T=JS&amp;NEWS=n&amp;CSC=Y&amp;PAGE=booktext&amp;D=books&amp;AN=01376498$&amp;XPATH=/PG(0)","http://ovidsp.ovid.com/ovidweb.cgi?T=JS&amp;NEWS=n&amp;CSC=Y&amp;PAGE=booktext&amp;D=books&amp;AN=01376498$&amp;XPATH=/PG(0)")</f>
        <v>http://ovidsp.ovid.com/ovidweb.cgi?T=JS&amp;NEWS=n&amp;CSC=Y&amp;PAGE=booktext&amp;D=books&amp;AN=01376498$&amp;XPATH=/PG(0)</v>
      </c>
      <c r="G421" s="2" t="s">
        <v>12</v>
      </c>
    </row>
    <row r="422" spans="1:7" x14ac:dyDescent="0.15">
      <c r="A422" s="2" t="s">
        <v>1284</v>
      </c>
      <c r="B422" s="2" t="s">
        <v>1285</v>
      </c>
      <c r="C422" s="2" t="s">
        <v>1286</v>
      </c>
      <c r="D422" s="2" t="s">
        <v>10</v>
      </c>
      <c r="E422" s="2" t="s">
        <v>16</v>
      </c>
      <c r="F422" s="3" t="str">
        <f>HYPERLINK("http://ovidsp.ovid.com/ovidweb.cgi?T=JS&amp;NEWS=n&amp;CSC=Y&amp;PAGE=booktext&amp;D=books&amp;AN=01376499$&amp;XPATH=/PG(0)","http://ovidsp.ovid.com/ovidweb.cgi?T=JS&amp;NEWS=n&amp;CSC=Y&amp;PAGE=booktext&amp;D=books&amp;AN=01376499$&amp;XPATH=/PG(0)")</f>
        <v>http://ovidsp.ovid.com/ovidweb.cgi?T=JS&amp;NEWS=n&amp;CSC=Y&amp;PAGE=booktext&amp;D=books&amp;AN=01376499$&amp;XPATH=/PG(0)</v>
      </c>
      <c r="G422" s="2" t="s">
        <v>12</v>
      </c>
    </row>
    <row r="423" spans="1:7" x14ac:dyDescent="0.15">
      <c r="A423" s="2" t="s">
        <v>1287</v>
      </c>
      <c r="B423" s="2" t="s">
        <v>1288</v>
      </c>
      <c r="C423" s="2" t="s">
        <v>1289</v>
      </c>
      <c r="D423" s="2" t="s">
        <v>10</v>
      </c>
      <c r="E423" s="2" t="s">
        <v>16</v>
      </c>
      <c r="F423" s="3" t="str">
        <f>HYPERLINK("http://ovidsp.ovid.com/ovidweb.cgi?T=JS&amp;NEWS=n&amp;CSC=Y&amp;PAGE=booktext&amp;D=books&amp;AN=01382761$&amp;XPATH=/PG(0)","http://ovidsp.ovid.com/ovidweb.cgi?T=JS&amp;NEWS=n&amp;CSC=Y&amp;PAGE=booktext&amp;D=books&amp;AN=01382761$&amp;XPATH=/PG(0)")</f>
        <v>http://ovidsp.ovid.com/ovidweb.cgi?T=JS&amp;NEWS=n&amp;CSC=Y&amp;PAGE=booktext&amp;D=books&amp;AN=01382761$&amp;XPATH=/PG(0)</v>
      </c>
      <c r="G423" s="2" t="s">
        <v>12</v>
      </c>
    </row>
    <row r="424" spans="1:7" x14ac:dyDescent="0.15">
      <c r="A424" s="2" t="s">
        <v>1290</v>
      </c>
      <c r="B424" s="2" t="s">
        <v>1291</v>
      </c>
      <c r="C424" s="2" t="s">
        <v>1292</v>
      </c>
      <c r="D424" s="2" t="s">
        <v>10</v>
      </c>
      <c r="E424" s="2" t="s">
        <v>16</v>
      </c>
      <c r="F424" s="3" t="str">
        <f>HYPERLINK("http://ovidsp.ovid.com/ovidweb.cgi?T=JS&amp;NEWS=n&amp;CSC=Y&amp;PAGE=booktext&amp;D=books&amp;AN=01382823$&amp;XPATH=/PG(0)","http://ovidsp.ovid.com/ovidweb.cgi?T=JS&amp;NEWS=n&amp;CSC=Y&amp;PAGE=booktext&amp;D=books&amp;AN=01382823$&amp;XPATH=/PG(0)")</f>
        <v>http://ovidsp.ovid.com/ovidweb.cgi?T=JS&amp;NEWS=n&amp;CSC=Y&amp;PAGE=booktext&amp;D=books&amp;AN=01382823$&amp;XPATH=/PG(0)</v>
      </c>
      <c r="G424" s="2" t="s">
        <v>12</v>
      </c>
    </row>
    <row r="425" spans="1:7" x14ac:dyDescent="0.15">
      <c r="A425" s="2" t="s">
        <v>1293</v>
      </c>
      <c r="B425" s="2" t="s">
        <v>1294</v>
      </c>
      <c r="C425" s="2" t="s">
        <v>1295</v>
      </c>
      <c r="D425" s="2" t="s">
        <v>10</v>
      </c>
      <c r="E425" s="2" t="s">
        <v>45</v>
      </c>
      <c r="F425" s="3" t="str">
        <f>HYPERLINK("http://ovidsp.ovid.com/ovidweb.cgi?T=JS&amp;NEWS=n&amp;CSC=Y&amp;PAGE=booktext&amp;D=books&amp;AN=01382504$&amp;XPATH=/PG(0)","http://ovidsp.ovid.com/ovidweb.cgi?T=JS&amp;NEWS=n&amp;CSC=Y&amp;PAGE=booktext&amp;D=books&amp;AN=01382504$&amp;XPATH=/PG(0)")</f>
        <v>http://ovidsp.ovid.com/ovidweb.cgi?T=JS&amp;NEWS=n&amp;CSC=Y&amp;PAGE=booktext&amp;D=books&amp;AN=01382504$&amp;XPATH=/PG(0)</v>
      </c>
      <c r="G425" s="2" t="s">
        <v>12</v>
      </c>
    </row>
    <row r="426" spans="1:7" x14ac:dyDescent="0.15">
      <c r="A426" s="2" t="s">
        <v>1296</v>
      </c>
      <c r="B426" s="2" t="s">
        <v>1297</v>
      </c>
      <c r="C426" s="2" t="s">
        <v>1298</v>
      </c>
      <c r="D426" s="2" t="s">
        <v>10</v>
      </c>
      <c r="E426" s="2" t="s">
        <v>45</v>
      </c>
      <c r="F426" s="3" t="str">
        <f>HYPERLINK("http://ovidsp.ovid.com/ovidweb.cgi?T=JS&amp;NEWS=n&amp;CSC=Y&amp;PAGE=booktext&amp;D=books&amp;AN=00146939$&amp;XPATH=/PG(0)","http://ovidsp.ovid.com/ovidweb.cgi?T=JS&amp;NEWS=n&amp;CSC=Y&amp;PAGE=booktext&amp;D=books&amp;AN=00146939$&amp;XPATH=/PG(0)")</f>
        <v>http://ovidsp.ovid.com/ovidweb.cgi?T=JS&amp;NEWS=n&amp;CSC=Y&amp;PAGE=booktext&amp;D=books&amp;AN=00146939$&amp;XPATH=/PG(0)</v>
      </c>
      <c r="G426" s="2" t="s">
        <v>12</v>
      </c>
    </row>
    <row r="427" spans="1:7" x14ac:dyDescent="0.15">
      <c r="A427" s="2" t="s">
        <v>1299</v>
      </c>
      <c r="B427" s="2" t="s">
        <v>1300</v>
      </c>
      <c r="C427" s="2" t="s">
        <v>1301</v>
      </c>
      <c r="D427" s="2" t="s">
        <v>10</v>
      </c>
      <c r="E427" s="2" t="s">
        <v>251</v>
      </c>
      <c r="F427" s="3" t="str">
        <f>HYPERLINK("http://ovidsp.ovid.com/ovidweb.cgi?T=JS&amp;NEWS=n&amp;CSC=Y&amp;PAGE=booktext&amp;D=books&amp;AN=00139941$&amp;XPATH=/PG(0)","http://ovidsp.ovid.com/ovidweb.cgi?T=JS&amp;NEWS=n&amp;CSC=Y&amp;PAGE=booktext&amp;D=books&amp;AN=00139941$&amp;XPATH=/PG(0)")</f>
        <v>http://ovidsp.ovid.com/ovidweb.cgi?T=JS&amp;NEWS=n&amp;CSC=Y&amp;PAGE=booktext&amp;D=books&amp;AN=00139941$&amp;XPATH=/PG(0)</v>
      </c>
      <c r="G427" s="2" t="s">
        <v>12</v>
      </c>
    </row>
    <row r="428" spans="1:7" x14ac:dyDescent="0.15">
      <c r="A428" s="2" t="s">
        <v>1302</v>
      </c>
      <c r="B428" s="2" t="s">
        <v>1303</v>
      </c>
      <c r="C428" s="2" t="s">
        <v>1304</v>
      </c>
      <c r="D428" s="2" t="s">
        <v>10</v>
      </c>
      <c r="E428" s="2" t="s">
        <v>32</v>
      </c>
      <c r="F428" s="3" t="str">
        <f>HYPERLINK("http://ovidsp.ovid.com/ovidweb.cgi?T=JS&amp;NEWS=n&amp;CSC=Y&amp;PAGE=booktext&amp;D=books&amp;AN=00146940$&amp;XPATH=/PG(0)","http://ovidsp.ovid.com/ovidweb.cgi?T=JS&amp;NEWS=n&amp;CSC=Y&amp;PAGE=booktext&amp;D=books&amp;AN=00146940$&amp;XPATH=/PG(0)")</f>
        <v>http://ovidsp.ovid.com/ovidweb.cgi?T=JS&amp;NEWS=n&amp;CSC=Y&amp;PAGE=booktext&amp;D=books&amp;AN=00146940$&amp;XPATH=/PG(0)</v>
      </c>
      <c r="G428" s="2" t="s">
        <v>12</v>
      </c>
    </row>
    <row r="429" spans="1:7" x14ac:dyDescent="0.15">
      <c r="A429" s="2" t="s">
        <v>1302</v>
      </c>
      <c r="B429" s="2" t="s">
        <v>1305</v>
      </c>
      <c r="C429" s="2" t="s">
        <v>1306</v>
      </c>
      <c r="D429" s="2" t="s">
        <v>10</v>
      </c>
      <c r="E429" s="2" t="s">
        <v>1307</v>
      </c>
      <c r="F429" s="3" t="str">
        <f>HYPERLINK("http://ovidsp.ovid.com/ovidweb.cgi?T=JS&amp;NEWS=n&amp;CSC=Y&amp;PAGE=booktext&amp;D=books&amp;AN=01329160$&amp;XPATH=/PG(0)","http://ovidsp.ovid.com/ovidweb.cgi?T=JS&amp;NEWS=n&amp;CSC=Y&amp;PAGE=booktext&amp;D=books&amp;AN=01329160$&amp;XPATH=/PG(0)")</f>
        <v>http://ovidsp.ovid.com/ovidweb.cgi?T=JS&amp;NEWS=n&amp;CSC=Y&amp;PAGE=booktext&amp;D=books&amp;AN=01329160$&amp;XPATH=/PG(0)</v>
      </c>
      <c r="G429" s="2" t="s">
        <v>12</v>
      </c>
    </row>
    <row r="430" spans="1:7" x14ac:dyDescent="0.15">
      <c r="A430" s="2" t="s">
        <v>1302</v>
      </c>
      <c r="B430" s="2" t="s">
        <v>1308</v>
      </c>
      <c r="C430" s="2" t="s">
        <v>1309</v>
      </c>
      <c r="D430" s="2" t="s">
        <v>10</v>
      </c>
      <c r="E430" s="2" t="s">
        <v>1310</v>
      </c>
      <c r="F430" s="3" t="str">
        <f>HYPERLINK("http://ovidsp.ovid.com/ovidweb.cgi?T=JS&amp;NEWS=n&amp;CSC=Y&amp;PAGE=booktext&amp;D=books&amp;AN=01337998$&amp;XPATH=/PG(0)","http://ovidsp.ovid.com/ovidweb.cgi?T=JS&amp;NEWS=n&amp;CSC=Y&amp;PAGE=booktext&amp;D=books&amp;AN=01337998$&amp;XPATH=/PG(0)")</f>
        <v>http://ovidsp.ovid.com/ovidweb.cgi?T=JS&amp;NEWS=n&amp;CSC=Y&amp;PAGE=booktext&amp;D=books&amp;AN=01337998$&amp;XPATH=/PG(0)</v>
      </c>
      <c r="G430" s="2" t="s">
        <v>12</v>
      </c>
    </row>
    <row r="431" spans="1:7" x14ac:dyDescent="0.15">
      <c r="A431" s="2" t="s">
        <v>1311</v>
      </c>
      <c r="B431" s="2" t="s">
        <v>1312</v>
      </c>
      <c r="C431" s="2" t="s">
        <v>1313</v>
      </c>
      <c r="D431" s="2" t="s">
        <v>10</v>
      </c>
      <c r="E431" s="2" t="s">
        <v>53</v>
      </c>
      <c r="F431" s="3" t="str">
        <f>HYPERLINK("http://ovidsp.ovid.com/ovidweb.cgi?T=JS&amp;NEWS=n&amp;CSC=Y&amp;PAGE=booktext&amp;D=books&amp;AN=01376500$&amp;XPATH=/PG(0)","http://ovidsp.ovid.com/ovidweb.cgi?T=JS&amp;NEWS=n&amp;CSC=Y&amp;PAGE=booktext&amp;D=books&amp;AN=01376500$&amp;XPATH=/PG(0)")</f>
        <v>http://ovidsp.ovid.com/ovidweb.cgi?T=JS&amp;NEWS=n&amp;CSC=Y&amp;PAGE=booktext&amp;D=books&amp;AN=01376500$&amp;XPATH=/PG(0)</v>
      </c>
      <c r="G431" s="2" t="s">
        <v>12</v>
      </c>
    </row>
    <row r="432" spans="1:7" x14ac:dyDescent="0.15">
      <c r="A432" s="2" t="s">
        <v>1314</v>
      </c>
      <c r="B432" s="2" t="s">
        <v>1315</v>
      </c>
      <c r="C432" s="2" t="s">
        <v>1316</v>
      </c>
      <c r="D432" s="2" t="s">
        <v>10</v>
      </c>
      <c r="E432" s="2" t="s">
        <v>16</v>
      </c>
      <c r="F432" s="3" t="str">
        <f>HYPERLINK("http://ovidsp.ovid.com/ovidweb.cgi?T=JS&amp;NEWS=n&amp;CSC=Y&amp;PAGE=booktext&amp;D=books&amp;AN=01337290$&amp;XPATH=/PG(0)","http://ovidsp.ovid.com/ovidweb.cgi?T=JS&amp;NEWS=n&amp;CSC=Y&amp;PAGE=booktext&amp;D=books&amp;AN=01337290$&amp;XPATH=/PG(0)")</f>
        <v>http://ovidsp.ovid.com/ovidweb.cgi?T=JS&amp;NEWS=n&amp;CSC=Y&amp;PAGE=booktext&amp;D=books&amp;AN=01337290$&amp;XPATH=/PG(0)</v>
      </c>
      <c r="G432" s="2" t="s">
        <v>17</v>
      </c>
    </row>
    <row r="433" spans="1:7" x14ac:dyDescent="0.15">
      <c r="A433" s="2" t="s">
        <v>1317</v>
      </c>
      <c r="B433" s="2" t="s">
        <v>1318</v>
      </c>
      <c r="C433" s="2" t="s">
        <v>1319</v>
      </c>
      <c r="D433" s="2" t="s">
        <v>10</v>
      </c>
      <c r="E433" s="2" t="s">
        <v>16</v>
      </c>
      <c r="F433" s="3" t="str">
        <f>HYPERLINK("http://ovidsp.ovid.com/ovidweb.cgi?T=JS&amp;NEWS=n&amp;CSC=Y&amp;PAGE=booktext&amp;D=books&amp;AN=01382829$&amp;XPATH=/PG(0)","http://ovidsp.ovid.com/ovidweb.cgi?T=JS&amp;NEWS=n&amp;CSC=Y&amp;PAGE=booktext&amp;D=books&amp;AN=01382829$&amp;XPATH=/PG(0)")</f>
        <v>http://ovidsp.ovid.com/ovidweb.cgi?T=JS&amp;NEWS=n&amp;CSC=Y&amp;PAGE=booktext&amp;D=books&amp;AN=01382829$&amp;XPATH=/PG(0)</v>
      </c>
      <c r="G433" s="2" t="s">
        <v>12</v>
      </c>
    </row>
    <row r="434" spans="1:7" x14ac:dyDescent="0.15">
      <c r="A434" s="2" t="s">
        <v>1320</v>
      </c>
      <c r="B434" s="2" t="s">
        <v>1321</v>
      </c>
      <c r="C434" s="2" t="s">
        <v>1322</v>
      </c>
      <c r="D434" s="2" t="s">
        <v>10</v>
      </c>
      <c r="E434" s="2" t="s">
        <v>49</v>
      </c>
      <c r="F434" s="3" t="str">
        <f>HYPERLINK("http://ovidsp.ovid.com/ovidweb.cgi?T=JS&amp;NEWS=n&amp;CSC=Y&amp;PAGE=booktext&amp;D=books&amp;AN=01382876$&amp;XPATH=/PG(0)","http://ovidsp.ovid.com/ovidweb.cgi?T=JS&amp;NEWS=n&amp;CSC=Y&amp;PAGE=booktext&amp;D=books&amp;AN=01382876$&amp;XPATH=/PG(0)")</f>
        <v>http://ovidsp.ovid.com/ovidweb.cgi?T=JS&amp;NEWS=n&amp;CSC=Y&amp;PAGE=booktext&amp;D=books&amp;AN=01382876$&amp;XPATH=/PG(0)</v>
      </c>
      <c r="G434" s="2" t="s">
        <v>12</v>
      </c>
    </row>
    <row r="435" spans="1:7" x14ac:dyDescent="0.15">
      <c r="A435" s="2" t="s">
        <v>1323</v>
      </c>
      <c r="B435" s="2" t="s">
        <v>1324</v>
      </c>
      <c r="C435" s="2" t="s">
        <v>1325</v>
      </c>
      <c r="D435" s="2" t="s">
        <v>10</v>
      </c>
      <c r="E435" s="2" t="s">
        <v>53</v>
      </c>
      <c r="F435" s="3" t="str">
        <f>HYPERLINK("http://ovidsp.ovid.com/ovidweb.cgi?T=JS&amp;NEWS=n&amp;CSC=Y&amp;PAGE=booktext&amp;D=books&amp;AN=01256969$&amp;XPATH=/PG(0)","http://ovidsp.ovid.com/ovidweb.cgi?T=JS&amp;NEWS=n&amp;CSC=Y&amp;PAGE=booktext&amp;D=books&amp;AN=01256969$&amp;XPATH=/PG(0)")</f>
        <v>http://ovidsp.ovid.com/ovidweb.cgi?T=JS&amp;NEWS=n&amp;CSC=Y&amp;PAGE=booktext&amp;D=books&amp;AN=01256969$&amp;XPATH=/PG(0)</v>
      </c>
      <c r="G435" s="2" t="s">
        <v>17</v>
      </c>
    </row>
    <row r="436" spans="1:7" x14ac:dyDescent="0.15">
      <c r="A436" s="2" t="s">
        <v>1326</v>
      </c>
      <c r="B436" s="2" t="s">
        <v>1327</v>
      </c>
      <c r="C436" s="2" t="s">
        <v>1328</v>
      </c>
      <c r="D436" s="2" t="s">
        <v>10</v>
      </c>
      <c r="E436" s="2" t="s">
        <v>235</v>
      </c>
      <c r="F436" s="3" t="str">
        <f>HYPERLINK("http://ovidsp.ovid.com/ovidweb.cgi?T=JS&amp;NEWS=n&amp;CSC=Y&amp;PAGE=booktext&amp;D=books&amp;AN=00139942$&amp;XPATH=/PG(0)","http://ovidsp.ovid.com/ovidweb.cgi?T=JS&amp;NEWS=n&amp;CSC=Y&amp;PAGE=booktext&amp;D=books&amp;AN=00139942$&amp;XPATH=/PG(0)")</f>
        <v>http://ovidsp.ovid.com/ovidweb.cgi?T=JS&amp;NEWS=n&amp;CSC=Y&amp;PAGE=booktext&amp;D=books&amp;AN=00139942$&amp;XPATH=/PG(0)</v>
      </c>
      <c r="G436" s="2" t="s">
        <v>17</v>
      </c>
    </row>
    <row r="437" spans="1:7" x14ac:dyDescent="0.15">
      <c r="A437" s="2" t="s">
        <v>1329</v>
      </c>
      <c r="B437" s="2" t="s">
        <v>1330</v>
      </c>
      <c r="C437" s="2" t="s">
        <v>1331</v>
      </c>
      <c r="D437" s="2" t="s">
        <v>10</v>
      </c>
      <c r="E437" s="2" t="s">
        <v>16</v>
      </c>
      <c r="F437" s="3" t="str">
        <f>HYPERLINK("http://ovidsp.ovid.com/ovidweb.cgi?T=JS&amp;NEWS=n&amp;CSC=Y&amp;PAGE=booktext&amp;D=books&amp;AN=01382583$&amp;XPATH=/PG(0)","http://ovidsp.ovid.com/ovidweb.cgi?T=JS&amp;NEWS=n&amp;CSC=Y&amp;PAGE=booktext&amp;D=books&amp;AN=01382583$&amp;XPATH=/PG(0)")</f>
        <v>http://ovidsp.ovid.com/ovidweb.cgi?T=JS&amp;NEWS=n&amp;CSC=Y&amp;PAGE=booktext&amp;D=books&amp;AN=01382583$&amp;XPATH=/PG(0)</v>
      </c>
      <c r="G437" s="2" t="s">
        <v>17</v>
      </c>
    </row>
    <row r="438" spans="1:7" x14ac:dyDescent="0.15">
      <c r="A438" s="2" t="s">
        <v>1332</v>
      </c>
      <c r="B438" s="2" t="s">
        <v>1333</v>
      </c>
      <c r="C438" s="2" t="s">
        <v>1334</v>
      </c>
      <c r="D438" s="2" t="s">
        <v>10</v>
      </c>
      <c r="E438" s="2" t="s">
        <v>16</v>
      </c>
      <c r="F438" s="3" t="str">
        <f>HYPERLINK("http://ovidsp.ovid.com/ovidweb.cgi?T=JS&amp;NEWS=n&amp;CSC=Y&amp;PAGE=booktext&amp;D=books&amp;AN=01382816$&amp;XPATH=/PG(0)","http://ovidsp.ovid.com/ovidweb.cgi?T=JS&amp;NEWS=n&amp;CSC=Y&amp;PAGE=booktext&amp;D=books&amp;AN=01382816$&amp;XPATH=/PG(0)")</f>
        <v>http://ovidsp.ovid.com/ovidweb.cgi?T=JS&amp;NEWS=n&amp;CSC=Y&amp;PAGE=booktext&amp;D=books&amp;AN=01382816$&amp;XPATH=/PG(0)</v>
      </c>
      <c r="G438" s="2" t="s">
        <v>12</v>
      </c>
    </row>
    <row r="439" spans="1:7" x14ac:dyDescent="0.15">
      <c r="A439" s="2" t="s">
        <v>1335</v>
      </c>
      <c r="B439" s="2" t="s">
        <v>1336</v>
      </c>
      <c r="C439" s="2" t="s">
        <v>1337</v>
      </c>
      <c r="D439" s="2" t="s">
        <v>10</v>
      </c>
      <c r="E439" s="2" t="s">
        <v>16</v>
      </c>
      <c r="F439" s="3" t="str">
        <f>HYPERLINK("http://ovidsp.ovid.com/ovidweb.cgi?T=JS&amp;NEWS=n&amp;CSC=Y&amp;PAGE=booktext&amp;D=books&amp;AN=01382778$&amp;XPATH=/PG(0)","http://ovidsp.ovid.com/ovidweb.cgi?T=JS&amp;NEWS=n&amp;CSC=Y&amp;PAGE=booktext&amp;D=books&amp;AN=01382778$&amp;XPATH=/PG(0)")</f>
        <v>http://ovidsp.ovid.com/ovidweb.cgi?T=JS&amp;NEWS=n&amp;CSC=Y&amp;PAGE=booktext&amp;D=books&amp;AN=01382778$&amp;XPATH=/PG(0)</v>
      </c>
      <c r="G439" s="2" t="s">
        <v>12</v>
      </c>
    </row>
    <row r="440" spans="1:7" x14ac:dyDescent="0.15">
      <c r="A440" s="2" t="s">
        <v>1338</v>
      </c>
      <c r="B440" s="2" t="s">
        <v>1339</v>
      </c>
      <c r="C440" s="2" t="s">
        <v>1340</v>
      </c>
      <c r="D440" s="2" t="s">
        <v>10</v>
      </c>
      <c r="E440" s="2" t="s">
        <v>16</v>
      </c>
      <c r="F440" s="3" t="str">
        <f>HYPERLINK("http://ovidsp.ovid.com/ovidweb.cgi?T=JS&amp;NEWS=n&amp;CSC=Y&amp;PAGE=booktext&amp;D=books&amp;AN=01382817$&amp;XPATH=/PG(0)","http://ovidsp.ovid.com/ovidweb.cgi?T=JS&amp;NEWS=n&amp;CSC=Y&amp;PAGE=booktext&amp;D=books&amp;AN=01382817$&amp;XPATH=/PG(0)")</f>
        <v>http://ovidsp.ovid.com/ovidweb.cgi?T=JS&amp;NEWS=n&amp;CSC=Y&amp;PAGE=booktext&amp;D=books&amp;AN=01382817$&amp;XPATH=/PG(0)</v>
      </c>
      <c r="G440" s="2" t="s">
        <v>12</v>
      </c>
    </row>
    <row r="441" spans="1:7" x14ac:dyDescent="0.15">
      <c r="A441" s="2" t="s">
        <v>1341</v>
      </c>
      <c r="B441" s="2" t="s">
        <v>1342</v>
      </c>
      <c r="C441" s="2" t="s">
        <v>1343</v>
      </c>
      <c r="D441" s="2" t="s">
        <v>10</v>
      </c>
      <c r="E441" s="2" t="s">
        <v>16</v>
      </c>
      <c r="F441" s="3" t="str">
        <f>HYPERLINK("http://ovidsp.ovid.com/ovidweb.cgi?T=JS&amp;NEWS=n&amp;CSC=Y&amp;PAGE=booktext&amp;D=books&amp;AN=01382819$&amp;XPATH=/PG(0)","http://ovidsp.ovid.com/ovidweb.cgi?T=JS&amp;NEWS=n&amp;CSC=Y&amp;PAGE=booktext&amp;D=books&amp;AN=01382819$&amp;XPATH=/PG(0)")</f>
        <v>http://ovidsp.ovid.com/ovidweb.cgi?T=JS&amp;NEWS=n&amp;CSC=Y&amp;PAGE=booktext&amp;D=books&amp;AN=01382819$&amp;XPATH=/PG(0)</v>
      </c>
      <c r="G441" s="2" t="s">
        <v>12</v>
      </c>
    </row>
    <row r="442" spans="1:7" x14ac:dyDescent="0.15">
      <c r="A442" s="2" t="s">
        <v>1344</v>
      </c>
      <c r="B442" s="2" t="s">
        <v>1345</v>
      </c>
      <c r="C442" s="2" t="s">
        <v>1346</v>
      </c>
      <c r="D442" s="2" t="s">
        <v>10</v>
      </c>
      <c r="E442" s="2" t="s">
        <v>16</v>
      </c>
      <c r="F442" s="3" t="str">
        <f>HYPERLINK("http://ovidsp.ovid.com/ovidweb.cgi?T=JS&amp;NEWS=n&amp;CSC=Y&amp;PAGE=booktext&amp;D=books&amp;AN=01382818$&amp;XPATH=/PG(0)","http://ovidsp.ovid.com/ovidweb.cgi?T=JS&amp;NEWS=n&amp;CSC=Y&amp;PAGE=booktext&amp;D=books&amp;AN=01382818$&amp;XPATH=/PG(0)")</f>
        <v>http://ovidsp.ovid.com/ovidweb.cgi?T=JS&amp;NEWS=n&amp;CSC=Y&amp;PAGE=booktext&amp;D=books&amp;AN=01382818$&amp;XPATH=/PG(0)</v>
      </c>
      <c r="G442" s="2" t="s">
        <v>12</v>
      </c>
    </row>
    <row r="443" spans="1:7" x14ac:dyDescent="0.15">
      <c r="A443" s="2" t="s">
        <v>1347</v>
      </c>
      <c r="B443" s="2" t="s">
        <v>1348</v>
      </c>
      <c r="C443" s="2" t="s">
        <v>1349</v>
      </c>
      <c r="D443" s="2" t="s">
        <v>10</v>
      </c>
      <c r="E443" s="2" t="s">
        <v>16</v>
      </c>
      <c r="F443" s="3" t="str">
        <f>HYPERLINK("http://ovidsp.ovid.com/ovidweb.cgi?T=JS&amp;NEWS=n&amp;CSC=Y&amp;PAGE=booktext&amp;D=books&amp;AN=01382779$&amp;XPATH=/PG(0)","http://ovidsp.ovid.com/ovidweb.cgi?T=JS&amp;NEWS=n&amp;CSC=Y&amp;PAGE=booktext&amp;D=books&amp;AN=01382779$&amp;XPATH=/PG(0)")</f>
        <v>http://ovidsp.ovid.com/ovidweb.cgi?T=JS&amp;NEWS=n&amp;CSC=Y&amp;PAGE=booktext&amp;D=books&amp;AN=01382779$&amp;XPATH=/PG(0)</v>
      </c>
      <c r="G443" s="2" t="s">
        <v>12</v>
      </c>
    </row>
    <row r="444" spans="1:7" x14ac:dyDescent="0.15">
      <c r="A444" s="2" t="s">
        <v>1350</v>
      </c>
      <c r="B444" s="2" t="s">
        <v>1351</v>
      </c>
      <c r="C444" s="2" t="s">
        <v>1352</v>
      </c>
      <c r="D444" s="2" t="s">
        <v>10</v>
      </c>
      <c r="E444" s="2" t="s">
        <v>16</v>
      </c>
      <c r="F444" s="3" t="str">
        <f>HYPERLINK("http://ovidsp.ovid.com/ovidweb.cgi?T=JS&amp;NEWS=n&amp;CSC=Y&amp;PAGE=booktext&amp;D=books&amp;AN=01382837$&amp;XPATH=/PG(0)","http://ovidsp.ovid.com/ovidweb.cgi?T=JS&amp;NEWS=n&amp;CSC=Y&amp;PAGE=booktext&amp;D=books&amp;AN=01382837$&amp;XPATH=/PG(0)")</f>
        <v>http://ovidsp.ovid.com/ovidweb.cgi?T=JS&amp;NEWS=n&amp;CSC=Y&amp;PAGE=booktext&amp;D=books&amp;AN=01382837$&amp;XPATH=/PG(0)</v>
      </c>
      <c r="G444" s="2" t="s">
        <v>12</v>
      </c>
    </row>
    <row r="445" spans="1:7" x14ac:dyDescent="0.15">
      <c r="A445" s="2" t="s">
        <v>1353</v>
      </c>
      <c r="B445" s="2" t="s">
        <v>1354</v>
      </c>
      <c r="C445" s="2" t="s">
        <v>1355</v>
      </c>
      <c r="D445" s="2" t="s">
        <v>10</v>
      </c>
      <c r="E445" s="2" t="s">
        <v>95</v>
      </c>
      <c r="F445" s="3" t="str">
        <f>HYPERLINK("http://ovidsp.ovid.com/ovidweb.cgi?T=JS&amp;NEWS=n&amp;CSC=Y&amp;PAGE=booktext&amp;D=books&amp;AN=01257042$&amp;XPATH=/PG(0)","http://ovidsp.ovid.com/ovidweb.cgi?T=JS&amp;NEWS=n&amp;CSC=Y&amp;PAGE=booktext&amp;D=books&amp;AN=01257042$&amp;XPATH=/PG(0)")</f>
        <v>http://ovidsp.ovid.com/ovidweb.cgi?T=JS&amp;NEWS=n&amp;CSC=Y&amp;PAGE=booktext&amp;D=books&amp;AN=01257042$&amp;XPATH=/PG(0)</v>
      </c>
      <c r="G445" s="2" t="s">
        <v>17</v>
      </c>
    </row>
    <row r="446" spans="1:7" x14ac:dyDescent="0.15">
      <c r="A446" s="2" t="s">
        <v>1356</v>
      </c>
      <c r="B446" s="2" t="s">
        <v>1357</v>
      </c>
      <c r="C446" s="2" t="s">
        <v>1358</v>
      </c>
      <c r="D446" s="2" t="s">
        <v>10</v>
      </c>
      <c r="E446" s="2" t="s">
        <v>95</v>
      </c>
      <c r="F446" s="3" t="str">
        <f>HYPERLINK("http://ovidsp.ovid.com/ovidweb.cgi?T=JS&amp;NEWS=n&amp;CSC=Y&amp;PAGE=booktext&amp;D=books&amp;AN=00139943$&amp;XPATH=/PG(0)","http://ovidsp.ovid.com/ovidweb.cgi?T=JS&amp;NEWS=n&amp;CSC=Y&amp;PAGE=booktext&amp;D=books&amp;AN=00139943$&amp;XPATH=/PG(0)")</f>
        <v>http://ovidsp.ovid.com/ovidweb.cgi?T=JS&amp;NEWS=n&amp;CSC=Y&amp;PAGE=booktext&amp;D=books&amp;AN=00139943$&amp;XPATH=/PG(0)</v>
      </c>
      <c r="G446" s="2" t="s">
        <v>12</v>
      </c>
    </row>
    <row r="447" spans="1:7" x14ac:dyDescent="0.15">
      <c r="A447" s="2" t="s">
        <v>1359</v>
      </c>
      <c r="B447" s="2" t="s">
        <v>1360</v>
      </c>
      <c r="C447" s="2" t="s">
        <v>1361</v>
      </c>
      <c r="D447" s="2" t="s">
        <v>10</v>
      </c>
      <c r="E447" s="2" t="s">
        <v>49</v>
      </c>
      <c r="F447" s="3" t="str">
        <f>HYPERLINK("http://ovidsp.ovid.com/ovidweb.cgi?T=JS&amp;NEWS=n&amp;CSC=Y&amp;PAGE=booktext&amp;D=books&amp;AN=01257018$&amp;XPATH=/PG(0)","http://ovidsp.ovid.com/ovidweb.cgi?T=JS&amp;NEWS=n&amp;CSC=Y&amp;PAGE=booktext&amp;D=books&amp;AN=01257018$&amp;XPATH=/PG(0)")</f>
        <v>http://ovidsp.ovid.com/ovidweb.cgi?T=JS&amp;NEWS=n&amp;CSC=Y&amp;PAGE=booktext&amp;D=books&amp;AN=01257018$&amp;XPATH=/PG(0)</v>
      </c>
      <c r="G447" s="2" t="s">
        <v>17</v>
      </c>
    </row>
    <row r="448" spans="1:7" x14ac:dyDescent="0.15">
      <c r="A448" s="2" t="s">
        <v>1362</v>
      </c>
      <c r="B448" s="2" t="s">
        <v>1363</v>
      </c>
      <c r="C448" s="2" t="s">
        <v>1364</v>
      </c>
      <c r="D448" s="2" t="s">
        <v>10</v>
      </c>
      <c r="E448" s="2" t="s">
        <v>95</v>
      </c>
      <c r="F448" s="3" t="str">
        <f>HYPERLINK("http://ovidsp.ovid.com/ovidweb.cgi?T=JS&amp;NEWS=n&amp;CSC=Y&amp;PAGE=booktext&amp;D=books&amp;AN=01257019$&amp;XPATH=/PG(0)","http://ovidsp.ovid.com/ovidweb.cgi?T=JS&amp;NEWS=n&amp;CSC=Y&amp;PAGE=booktext&amp;D=books&amp;AN=01257019$&amp;XPATH=/PG(0)")</f>
        <v>http://ovidsp.ovid.com/ovidweb.cgi?T=JS&amp;NEWS=n&amp;CSC=Y&amp;PAGE=booktext&amp;D=books&amp;AN=01257019$&amp;XPATH=/PG(0)</v>
      </c>
      <c r="G448" s="2" t="s">
        <v>17</v>
      </c>
    </row>
    <row r="449" spans="1:7" x14ac:dyDescent="0.15">
      <c r="A449" s="2" t="s">
        <v>1365</v>
      </c>
      <c r="B449" s="2" t="s">
        <v>1366</v>
      </c>
      <c r="C449" s="2" t="s">
        <v>1367</v>
      </c>
      <c r="D449" s="2" t="s">
        <v>10</v>
      </c>
      <c r="E449" s="2" t="s">
        <v>49</v>
      </c>
      <c r="F449" s="3" t="str">
        <f>HYPERLINK("http://ovidsp.ovid.com/ovidweb.cgi?T=JS&amp;NEWS=n&amp;CSC=Y&amp;PAGE=booktext&amp;D=books&amp;AN=01337300$&amp;XPATH=/PG(0)","http://ovidsp.ovid.com/ovidweb.cgi?T=JS&amp;NEWS=n&amp;CSC=Y&amp;PAGE=booktext&amp;D=books&amp;AN=01337300$&amp;XPATH=/PG(0)")</f>
        <v>http://ovidsp.ovid.com/ovidweb.cgi?T=JS&amp;NEWS=n&amp;CSC=Y&amp;PAGE=booktext&amp;D=books&amp;AN=01337300$&amp;XPATH=/PG(0)</v>
      </c>
      <c r="G449" s="2" t="s">
        <v>17</v>
      </c>
    </row>
    <row r="450" spans="1:7" x14ac:dyDescent="0.15">
      <c r="A450" s="2" t="s">
        <v>1368</v>
      </c>
      <c r="B450" s="2" t="s">
        <v>1369</v>
      </c>
      <c r="C450" s="2" t="s">
        <v>1370</v>
      </c>
      <c r="D450" s="2" t="s">
        <v>10</v>
      </c>
      <c r="E450" s="2" t="s">
        <v>16</v>
      </c>
      <c r="F450" s="3" t="str">
        <f>HYPERLINK("http://ovidsp.ovid.com/ovidweb.cgi?T=JS&amp;NEWS=n&amp;CSC=Y&amp;PAGE=booktext&amp;D=books&amp;AN=01382857$&amp;XPATH=/PG(0)","http://ovidsp.ovid.com/ovidweb.cgi?T=JS&amp;NEWS=n&amp;CSC=Y&amp;PAGE=booktext&amp;D=books&amp;AN=01382857$&amp;XPATH=/PG(0)")</f>
        <v>http://ovidsp.ovid.com/ovidweb.cgi?T=JS&amp;NEWS=n&amp;CSC=Y&amp;PAGE=booktext&amp;D=books&amp;AN=01382857$&amp;XPATH=/PG(0)</v>
      </c>
      <c r="G450" s="2" t="s">
        <v>12</v>
      </c>
    </row>
    <row r="451" spans="1:7" x14ac:dyDescent="0.15">
      <c r="A451" s="2" t="s">
        <v>1371</v>
      </c>
      <c r="B451" s="2" t="s">
        <v>1372</v>
      </c>
      <c r="C451" s="2" t="s">
        <v>1373</v>
      </c>
      <c r="D451" s="2" t="s">
        <v>10</v>
      </c>
      <c r="E451" s="2" t="s">
        <v>49</v>
      </c>
      <c r="F451" s="3" t="str">
        <f>HYPERLINK("http://ovidsp.ovid.com/ovidweb.cgi?T=JS&amp;NEWS=n&amp;CSC=Y&amp;PAGE=booktext&amp;D=books&amp;AN=00139944$&amp;XPATH=/PG(0)","http://ovidsp.ovid.com/ovidweb.cgi?T=JS&amp;NEWS=n&amp;CSC=Y&amp;PAGE=booktext&amp;D=books&amp;AN=00139944$&amp;XPATH=/PG(0)")</f>
        <v>http://ovidsp.ovid.com/ovidweb.cgi?T=JS&amp;NEWS=n&amp;CSC=Y&amp;PAGE=booktext&amp;D=books&amp;AN=00139944$&amp;XPATH=/PG(0)</v>
      </c>
      <c r="G451" s="2" t="s">
        <v>17</v>
      </c>
    </row>
    <row r="452" spans="1:7" x14ac:dyDescent="0.15">
      <c r="A452" s="2" t="s">
        <v>1374</v>
      </c>
      <c r="B452" s="2" t="s">
        <v>1375</v>
      </c>
      <c r="C452" s="2" t="s">
        <v>1376</v>
      </c>
      <c r="D452" s="2" t="s">
        <v>10</v>
      </c>
      <c r="E452" s="2" t="s">
        <v>53</v>
      </c>
      <c r="F452" s="3" t="str">
        <f>HYPERLINK("http://ovidsp.ovid.com/ovidweb.cgi?T=JS&amp;NEWS=n&amp;CSC=Y&amp;PAGE=booktext&amp;D=books&amp;AN=01382892$&amp;XPATH=/PG(0)","http://ovidsp.ovid.com/ovidweb.cgi?T=JS&amp;NEWS=n&amp;CSC=Y&amp;PAGE=booktext&amp;D=books&amp;AN=01382892$&amp;XPATH=/PG(0)")</f>
        <v>http://ovidsp.ovid.com/ovidweb.cgi?T=JS&amp;NEWS=n&amp;CSC=Y&amp;PAGE=booktext&amp;D=books&amp;AN=01382892$&amp;XPATH=/PG(0)</v>
      </c>
      <c r="G452" s="2" t="s">
        <v>12</v>
      </c>
    </row>
    <row r="453" spans="1:7" x14ac:dyDescent="0.15">
      <c r="A453" s="2" t="s">
        <v>1377</v>
      </c>
      <c r="B453" s="2" t="s">
        <v>1378</v>
      </c>
      <c r="C453" s="2" t="s">
        <v>1379</v>
      </c>
      <c r="D453" s="2" t="s">
        <v>10</v>
      </c>
      <c r="E453" s="2" t="s">
        <v>95</v>
      </c>
      <c r="F453" s="3" t="str">
        <f>HYPERLINK("http://ovidsp.ovid.com/ovidweb.cgi?T=JS&amp;NEWS=n&amp;CSC=Y&amp;PAGE=booktext&amp;D=books&amp;AN=00149844$&amp;XPATH=/PG(0)","http://ovidsp.ovid.com/ovidweb.cgi?T=JS&amp;NEWS=n&amp;CSC=Y&amp;PAGE=booktext&amp;D=books&amp;AN=00149844$&amp;XPATH=/PG(0)")</f>
        <v>http://ovidsp.ovid.com/ovidweb.cgi?T=JS&amp;NEWS=n&amp;CSC=Y&amp;PAGE=booktext&amp;D=books&amp;AN=00149844$&amp;XPATH=/PG(0)</v>
      </c>
      <c r="G453" s="2" t="s">
        <v>17</v>
      </c>
    </row>
    <row r="454" spans="1:7" x14ac:dyDescent="0.15">
      <c r="A454" s="2" t="s">
        <v>1380</v>
      </c>
      <c r="B454" s="2" t="s">
        <v>1381</v>
      </c>
      <c r="C454" s="2" t="s">
        <v>1382</v>
      </c>
      <c r="D454" s="2" t="s">
        <v>10</v>
      </c>
      <c r="E454" s="2" t="s">
        <v>53</v>
      </c>
      <c r="F454" s="3" t="str">
        <f>HYPERLINK("http://ovidsp.ovid.com/ovidweb.cgi?T=JS&amp;NEWS=n&amp;CSC=Y&amp;PAGE=booktext&amp;D=books&amp;AN=00139947$&amp;XPATH=/PG(0)","http://ovidsp.ovid.com/ovidweb.cgi?T=JS&amp;NEWS=n&amp;CSC=Y&amp;PAGE=booktext&amp;D=books&amp;AN=00139947$&amp;XPATH=/PG(0)")</f>
        <v>http://ovidsp.ovid.com/ovidweb.cgi?T=JS&amp;NEWS=n&amp;CSC=Y&amp;PAGE=booktext&amp;D=books&amp;AN=00139947$&amp;XPATH=/PG(0)</v>
      </c>
      <c r="G454" s="2" t="s">
        <v>12</v>
      </c>
    </row>
    <row r="455" spans="1:7" x14ac:dyDescent="0.15">
      <c r="A455" s="2" t="s">
        <v>1383</v>
      </c>
      <c r="B455" s="2" t="s">
        <v>1384</v>
      </c>
      <c r="C455" s="2" t="s">
        <v>1385</v>
      </c>
      <c r="D455" s="2" t="s">
        <v>10</v>
      </c>
      <c r="E455" s="2" t="s">
        <v>235</v>
      </c>
      <c r="F455" s="3" t="str">
        <f>HYPERLINK("http://ovidsp.ovid.com/ovidweb.cgi?T=JS&amp;NEWS=n&amp;CSC=Y&amp;PAGE=booktext&amp;D=books&amp;AN=01337648$&amp;XPATH=/PG(0)","http://ovidsp.ovid.com/ovidweb.cgi?T=JS&amp;NEWS=n&amp;CSC=Y&amp;PAGE=booktext&amp;D=books&amp;AN=01337648$&amp;XPATH=/PG(0)")</f>
        <v>http://ovidsp.ovid.com/ovidweb.cgi?T=JS&amp;NEWS=n&amp;CSC=Y&amp;PAGE=booktext&amp;D=books&amp;AN=01337648$&amp;XPATH=/PG(0)</v>
      </c>
      <c r="G455" s="2" t="s">
        <v>17</v>
      </c>
    </row>
    <row r="456" spans="1:7" x14ac:dyDescent="0.15">
      <c r="A456" s="2" t="s">
        <v>1386</v>
      </c>
      <c r="B456" s="2" t="s">
        <v>1387</v>
      </c>
      <c r="C456" s="2" t="s">
        <v>1388</v>
      </c>
      <c r="D456" s="2" t="s">
        <v>10</v>
      </c>
      <c r="E456" s="2" t="s">
        <v>53</v>
      </c>
      <c r="F456" s="3" t="str">
        <f>HYPERLINK("http://ovidsp.ovid.com/ovidweb.cgi?T=JS&amp;NEWS=n&amp;CSC=Y&amp;PAGE=booktext&amp;D=books&amp;AN=00139948$&amp;XPATH=/PG(0)","http://ovidsp.ovid.com/ovidweb.cgi?T=JS&amp;NEWS=n&amp;CSC=Y&amp;PAGE=booktext&amp;D=books&amp;AN=00139948$&amp;XPATH=/PG(0)")</f>
        <v>http://ovidsp.ovid.com/ovidweb.cgi?T=JS&amp;NEWS=n&amp;CSC=Y&amp;PAGE=booktext&amp;D=books&amp;AN=00139948$&amp;XPATH=/PG(0)</v>
      </c>
      <c r="G456" s="2" t="s">
        <v>17</v>
      </c>
    </row>
    <row r="457" spans="1:7" x14ac:dyDescent="0.15">
      <c r="A457" s="2" t="s">
        <v>1389</v>
      </c>
      <c r="B457" s="2" t="s">
        <v>1390</v>
      </c>
      <c r="C457" s="2" t="s">
        <v>1391</v>
      </c>
      <c r="D457" s="2" t="s">
        <v>10</v>
      </c>
      <c r="E457" s="2" t="s">
        <v>53</v>
      </c>
      <c r="F457" s="3" t="str">
        <f>HYPERLINK("http://ovidsp.ovid.com/ovidweb.cgi?T=JS&amp;NEWS=n&amp;CSC=Y&amp;PAGE=booktext&amp;D=books&amp;AN=00139949$&amp;XPATH=/PG(0)","http://ovidsp.ovid.com/ovidweb.cgi?T=JS&amp;NEWS=n&amp;CSC=Y&amp;PAGE=booktext&amp;D=books&amp;AN=00139949$&amp;XPATH=/PG(0)")</f>
        <v>http://ovidsp.ovid.com/ovidweb.cgi?T=JS&amp;NEWS=n&amp;CSC=Y&amp;PAGE=booktext&amp;D=books&amp;AN=00139949$&amp;XPATH=/PG(0)</v>
      </c>
      <c r="G457" s="2" t="s">
        <v>17</v>
      </c>
    </row>
    <row r="458" spans="1:7" x14ac:dyDescent="0.15">
      <c r="A458" s="2" t="s">
        <v>1392</v>
      </c>
      <c r="B458" s="2" t="s">
        <v>1393</v>
      </c>
      <c r="C458" s="2" t="s">
        <v>1394</v>
      </c>
      <c r="D458" s="2" t="s">
        <v>10</v>
      </c>
      <c r="E458" s="2" t="s">
        <v>235</v>
      </c>
      <c r="F458" s="3" t="str">
        <f>HYPERLINK("http://ovidsp.ovid.com/ovidweb.cgi?T=JS&amp;NEWS=n&amp;CSC=Y&amp;PAGE=booktext&amp;D=books&amp;AN=01382584$&amp;XPATH=/PG(0)","http://ovidsp.ovid.com/ovidweb.cgi?T=JS&amp;NEWS=n&amp;CSC=Y&amp;PAGE=booktext&amp;D=books&amp;AN=01382584$&amp;XPATH=/PG(0)")</f>
        <v>http://ovidsp.ovid.com/ovidweb.cgi?T=JS&amp;NEWS=n&amp;CSC=Y&amp;PAGE=booktext&amp;D=books&amp;AN=01382584$&amp;XPATH=/PG(0)</v>
      </c>
      <c r="G458" s="2" t="s">
        <v>17</v>
      </c>
    </row>
    <row r="459" spans="1:7" x14ac:dyDescent="0.15">
      <c r="A459" s="2" t="s">
        <v>1395</v>
      </c>
      <c r="B459" s="2" t="s">
        <v>1396</v>
      </c>
      <c r="C459" s="2" t="s">
        <v>1397</v>
      </c>
      <c r="D459" s="2" t="s">
        <v>10</v>
      </c>
      <c r="E459" s="2" t="s">
        <v>45</v>
      </c>
      <c r="F459" s="3" t="str">
        <f>HYPERLINK("http://ovidsp.ovid.com/ovidweb.cgi?T=JS&amp;NEWS=n&amp;CSC=Y&amp;PAGE=booktext&amp;D=books&amp;AN=00139950$&amp;XPATH=/PG(0)","http://ovidsp.ovid.com/ovidweb.cgi?T=JS&amp;NEWS=n&amp;CSC=Y&amp;PAGE=booktext&amp;D=books&amp;AN=00139950$&amp;XPATH=/PG(0)")</f>
        <v>http://ovidsp.ovid.com/ovidweb.cgi?T=JS&amp;NEWS=n&amp;CSC=Y&amp;PAGE=booktext&amp;D=books&amp;AN=00139950$&amp;XPATH=/PG(0)</v>
      </c>
      <c r="G459" s="2" t="s">
        <v>17</v>
      </c>
    </row>
    <row r="460" spans="1:7" x14ac:dyDescent="0.15">
      <c r="A460" s="2" t="s">
        <v>1398</v>
      </c>
      <c r="B460" s="2" t="s">
        <v>1399</v>
      </c>
      <c r="C460" s="2" t="s">
        <v>1400</v>
      </c>
      <c r="D460" s="2" t="s">
        <v>10</v>
      </c>
      <c r="E460" s="2" t="s">
        <v>251</v>
      </c>
      <c r="F460" s="3" t="str">
        <f>HYPERLINK("http://ovidsp.ovid.com/ovidweb.cgi?T=JS&amp;NEWS=n&amp;CSC=Y&amp;PAGE=booktext&amp;D=books&amp;AN=01256970$&amp;XPATH=/PG(0)","http://ovidsp.ovid.com/ovidweb.cgi?T=JS&amp;NEWS=n&amp;CSC=Y&amp;PAGE=booktext&amp;D=books&amp;AN=01256970$&amp;XPATH=/PG(0)")</f>
        <v>http://ovidsp.ovid.com/ovidweb.cgi?T=JS&amp;NEWS=n&amp;CSC=Y&amp;PAGE=booktext&amp;D=books&amp;AN=01256970$&amp;XPATH=/PG(0)</v>
      </c>
      <c r="G460" s="2" t="s">
        <v>17</v>
      </c>
    </row>
    <row r="461" spans="1:7" x14ac:dyDescent="0.15">
      <c r="A461" s="2" t="s">
        <v>1401</v>
      </c>
      <c r="B461" s="2" t="s">
        <v>1402</v>
      </c>
      <c r="C461" s="2" t="s">
        <v>1403</v>
      </c>
      <c r="D461" s="2" t="s">
        <v>10</v>
      </c>
      <c r="E461" s="2" t="s">
        <v>45</v>
      </c>
      <c r="F461" s="3" t="str">
        <f>HYPERLINK("http://ovidsp.ovid.com/ovidweb.cgi?T=JS&amp;NEWS=n&amp;CSC=Y&amp;PAGE=booktext&amp;D=books&amp;AN=00139951$&amp;XPATH=/PG(0)","http://ovidsp.ovid.com/ovidweb.cgi?T=JS&amp;NEWS=n&amp;CSC=Y&amp;PAGE=booktext&amp;D=books&amp;AN=00139951$&amp;XPATH=/PG(0)")</f>
        <v>http://ovidsp.ovid.com/ovidweb.cgi?T=JS&amp;NEWS=n&amp;CSC=Y&amp;PAGE=booktext&amp;D=books&amp;AN=00139951$&amp;XPATH=/PG(0)</v>
      </c>
      <c r="G461" s="2" t="s">
        <v>17</v>
      </c>
    </row>
    <row r="462" spans="1:7" x14ac:dyDescent="0.15">
      <c r="A462" s="2" t="s">
        <v>1401</v>
      </c>
      <c r="B462" s="2" t="s">
        <v>1404</v>
      </c>
      <c r="C462" s="2" t="s">
        <v>1405</v>
      </c>
      <c r="D462" s="2" t="s">
        <v>10</v>
      </c>
      <c r="E462" s="2" t="s">
        <v>95</v>
      </c>
      <c r="F462" s="3" t="str">
        <f>HYPERLINK("http://ovidsp.ovid.com/ovidweb.cgi?T=JS&amp;NEWS=n&amp;CSC=Y&amp;PAGE=booktext&amp;D=books&amp;AN=01337649$&amp;XPATH=/PG(0)","http://ovidsp.ovid.com/ovidweb.cgi?T=JS&amp;NEWS=n&amp;CSC=Y&amp;PAGE=booktext&amp;D=books&amp;AN=01337649$&amp;XPATH=/PG(0)")</f>
        <v>http://ovidsp.ovid.com/ovidweb.cgi?T=JS&amp;NEWS=n&amp;CSC=Y&amp;PAGE=booktext&amp;D=books&amp;AN=01337649$&amp;XPATH=/PG(0)</v>
      </c>
      <c r="G462" s="2" t="s">
        <v>17</v>
      </c>
    </row>
    <row r="463" spans="1:7" x14ac:dyDescent="0.15">
      <c r="A463" s="2" t="s">
        <v>1406</v>
      </c>
      <c r="B463" s="2" t="s">
        <v>1407</v>
      </c>
      <c r="C463" s="2" t="s">
        <v>1408</v>
      </c>
      <c r="D463" s="2" t="s">
        <v>10</v>
      </c>
      <c r="E463" s="2" t="s">
        <v>53</v>
      </c>
      <c r="F463" s="3" t="str">
        <f>HYPERLINK("http://ovidsp.ovid.com/ovidweb.cgi?T=JS&amp;NEWS=n&amp;CSC=Y&amp;PAGE=booktext&amp;D=books&amp;AN=01382598$&amp;XPATH=/PG(0)","http://ovidsp.ovid.com/ovidweb.cgi?T=JS&amp;NEWS=n&amp;CSC=Y&amp;PAGE=booktext&amp;D=books&amp;AN=01382598$&amp;XPATH=/PG(0)")</f>
        <v>http://ovidsp.ovid.com/ovidweb.cgi?T=JS&amp;NEWS=n&amp;CSC=Y&amp;PAGE=booktext&amp;D=books&amp;AN=01382598$&amp;XPATH=/PG(0)</v>
      </c>
      <c r="G463" s="2" t="s">
        <v>17</v>
      </c>
    </row>
    <row r="464" spans="1:7" x14ac:dyDescent="0.15">
      <c r="A464" s="2" t="s">
        <v>1409</v>
      </c>
      <c r="B464" s="2" t="s">
        <v>1410</v>
      </c>
      <c r="C464" s="2" t="s">
        <v>1411</v>
      </c>
      <c r="D464" s="2" t="s">
        <v>10</v>
      </c>
      <c r="E464" s="2" t="s">
        <v>45</v>
      </c>
      <c r="F464" s="3" t="str">
        <f>HYPERLINK("http://ovidsp.ovid.com/ovidweb.cgi?T=JS&amp;NEWS=n&amp;CSC=Y&amp;PAGE=booktext&amp;D=books&amp;AN=00139952$&amp;XPATH=/PG(0)","http://ovidsp.ovid.com/ovidweb.cgi?T=JS&amp;NEWS=n&amp;CSC=Y&amp;PAGE=booktext&amp;D=books&amp;AN=00139952$&amp;XPATH=/PG(0)")</f>
        <v>http://ovidsp.ovid.com/ovidweb.cgi?T=JS&amp;NEWS=n&amp;CSC=Y&amp;PAGE=booktext&amp;D=books&amp;AN=00139952$&amp;XPATH=/PG(0)</v>
      </c>
      <c r="G464" s="2" t="s">
        <v>17</v>
      </c>
    </row>
    <row r="465" spans="1:7" x14ac:dyDescent="0.15">
      <c r="A465" s="2" t="s">
        <v>1412</v>
      </c>
      <c r="B465" s="2" t="s">
        <v>1413</v>
      </c>
      <c r="C465" s="2" t="s">
        <v>1414</v>
      </c>
      <c r="D465" s="2" t="s">
        <v>10</v>
      </c>
      <c r="E465" s="2" t="s">
        <v>95</v>
      </c>
      <c r="F465" s="3" t="str">
        <f>HYPERLINK("http://ovidsp.ovid.com/ovidweb.cgi?T=JS&amp;NEWS=n&amp;CSC=Y&amp;PAGE=booktext&amp;D=books&amp;AN=00139953$&amp;XPATH=/PG(0)","http://ovidsp.ovid.com/ovidweb.cgi?T=JS&amp;NEWS=n&amp;CSC=Y&amp;PAGE=booktext&amp;D=books&amp;AN=00139953$&amp;XPATH=/PG(0)")</f>
        <v>http://ovidsp.ovid.com/ovidweb.cgi?T=JS&amp;NEWS=n&amp;CSC=Y&amp;PAGE=booktext&amp;D=books&amp;AN=00139953$&amp;XPATH=/PG(0)</v>
      </c>
      <c r="G465" s="2" t="s">
        <v>12</v>
      </c>
    </row>
    <row r="466" spans="1:7" x14ac:dyDescent="0.15">
      <c r="A466" s="2" t="s">
        <v>1415</v>
      </c>
      <c r="B466" s="2" t="s">
        <v>1416</v>
      </c>
      <c r="C466" s="2" t="s">
        <v>1417</v>
      </c>
      <c r="D466" s="2" t="s">
        <v>10</v>
      </c>
      <c r="E466" s="2" t="s">
        <v>49</v>
      </c>
      <c r="F466" s="3" t="str">
        <f>HYPERLINK("http://ovidsp.ovid.com/ovidweb.cgi?T=JS&amp;NEWS=n&amp;CSC=Y&amp;PAGE=booktext&amp;D=books&amp;AN=01337650$&amp;XPATH=/PG(0)","http://ovidsp.ovid.com/ovidweb.cgi?T=JS&amp;NEWS=n&amp;CSC=Y&amp;PAGE=booktext&amp;D=books&amp;AN=01337650$&amp;XPATH=/PG(0)")</f>
        <v>http://ovidsp.ovid.com/ovidweb.cgi?T=JS&amp;NEWS=n&amp;CSC=Y&amp;PAGE=booktext&amp;D=books&amp;AN=01337650$&amp;XPATH=/PG(0)</v>
      </c>
      <c r="G466" s="2" t="s">
        <v>17</v>
      </c>
    </row>
    <row r="467" spans="1:7" x14ac:dyDescent="0.15">
      <c r="A467" s="2" t="s">
        <v>1418</v>
      </c>
      <c r="B467" s="2" t="s">
        <v>1419</v>
      </c>
      <c r="C467" s="2" t="s">
        <v>1420</v>
      </c>
      <c r="D467" s="2" t="s">
        <v>10</v>
      </c>
      <c r="E467" s="2" t="s">
        <v>49</v>
      </c>
      <c r="F467" s="3" t="str">
        <f>HYPERLINK("http://ovidsp.ovid.com/ovidweb.cgi?T=JS&amp;NEWS=n&amp;CSC=Y&amp;PAGE=booktext&amp;D=books&amp;AN=01241407$&amp;XPATH=/PG(0)","http://ovidsp.ovid.com/ovidweb.cgi?T=JS&amp;NEWS=n&amp;CSC=Y&amp;PAGE=booktext&amp;D=books&amp;AN=01241407$&amp;XPATH=/PG(0)")</f>
        <v>http://ovidsp.ovid.com/ovidweb.cgi?T=JS&amp;NEWS=n&amp;CSC=Y&amp;PAGE=booktext&amp;D=books&amp;AN=01241407$&amp;XPATH=/PG(0)</v>
      </c>
      <c r="G467" s="2" t="s">
        <v>17</v>
      </c>
    </row>
    <row r="468" spans="1:7" x14ac:dyDescent="0.15">
      <c r="A468" s="2" t="s">
        <v>1421</v>
      </c>
      <c r="B468" s="2" t="s">
        <v>1422</v>
      </c>
      <c r="C468" s="2" t="s">
        <v>1423</v>
      </c>
      <c r="D468" s="2" t="s">
        <v>10</v>
      </c>
      <c r="E468" s="2" t="s">
        <v>251</v>
      </c>
      <c r="F468" s="3" t="str">
        <f>HYPERLINK("http://ovidsp.ovid.com/ovidweb.cgi?T=JS&amp;NEWS=n&amp;CSC=Y&amp;PAGE=booktext&amp;D=books&amp;AN=00140036$&amp;XPATH=/PG(0)","http://ovidsp.ovid.com/ovidweb.cgi?T=JS&amp;NEWS=n&amp;CSC=Y&amp;PAGE=booktext&amp;D=books&amp;AN=00140036$&amp;XPATH=/PG(0)")</f>
        <v>http://ovidsp.ovid.com/ovidweb.cgi?T=JS&amp;NEWS=n&amp;CSC=Y&amp;PAGE=booktext&amp;D=books&amp;AN=00140036$&amp;XPATH=/PG(0)</v>
      </c>
      <c r="G468" s="2" t="s">
        <v>12</v>
      </c>
    </row>
    <row r="469" spans="1:7" x14ac:dyDescent="0.15">
      <c r="A469" s="2" t="s">
        <v>1424</v>
      </c>
      <c r="B469" s="2" t="s">
        <v>1425</v>
      </c>
      <c r="C469" s="2" t="s">
        <v>1426</v>
      </c>
      <c r="D469" s="2" t="s">
        <v>10</v>
      </c>
      <c r="E469" s="2" t="s">
        <v>622</v>
      </c>
      <c r="F469" s="3" t="str">
        <f>HYPERLINK("http://ovidsp.ovid.com/ovidweb.cgi?T=JS&amp;NEWS=n&amp;CSC=Y&amp;PAGE=booktext&amp;D=books&amp;AN=01337418$&amp;XPATH=/PG(0)","http://ovidsp.ovid.com/ovidweb.cgi?T=JS&amp;NEWS=n&amp;CSC=Y&amp;PAGE=booktext&amp;D=books&amp;AN=01337418$&amp;XPATH=/PG(0)")</f>
        <v>http://ovidsp.ovid.com/ovidweb.cgi?T=JS&amp;NEWS=n&amp;CSC=Y&amp;PAGE=booktext&amp;D=books&amp;AN=01337418$&amp;XPATH=/PG(0)</v>
      </c>
      <c r="G469" s="2" t="s">
        <v>12</v>
      </c>
    </row>
    <row r="470" spans="1:7" x14ac:dyDescent="0.15">
      <c r="A470" s="2" t="s">
        <v>1427</v>
      </c>
      <c r="B470" s="2" t="s">
        <v>1428</v>
      </c>
      <c r="C470" s="2" t="s">
        <v>1429</v>
      </c>
      <c r="D470" s="2" t="s">
        <v>10</v>
      </c>
      <c r="E470" s="2" t="s">
        <v>16</v>
      </c>
      <c r="F470" s="3" t="str">
        <f>HYPERLINK("http://ovidsp.ovid.com/ovidweb.cgi?T=JS&amp;NEWS=n&amp;CSC=Y&amp;PAGE=booktext&amp;D=books&amp;AN=01337561$&amp;XPATH=/PG(0)","http://ovidsp.ovid.com/ovidweb.cgi?T=JS&amp;NEWS=n&amp;CSC=Y&amp;PAGE=booktext&amp;D=books&amp;AN=01337561$&amp;XPATH=/PG(0)")</f>
        <v>http://ovidsp.ovid.com/ovidweb.cgi?T=JS&amp;NEWS=n&amp;CSC=Y&amp;PAGE=booktext&amp;D=books&amp;AN=01337561$&amp;XPATH=/PG(0)</v>
      </c>
      <c r="G470" s="2" t="s">
        <v>17</v>
      </c>
    </row>
    <row r="471" spans="1:7" x14ac:dyDescent="0.15">
      <c r="A471" s="2" t="s">
        <v>1430</v>
      </c>
      <c r="B471" s="2" t="s">
        <v>1431</v>
      </c>
      <c r="C471" s="2" t="s">
        <v>1432</v>
      </c>
      <c r="D471" s="2" t="s">
        <v>10</v>
      </c>
      <c r="E471" s="2" t="s">
        <v>235</v>
      </c>
      <c r="F471" s="3" t="str">
        <f>HYPERLINK("http://ovidsp.ovid.com/ovidweb.cgi?T=JS&amp;NEWS=n&amp;CSC=Y&amp;PAGE=booktext&amp;D=books&amp;AN=01382485$&amp;XPATH=/PG(0)","http://ovidsp.ovid.com/ovidweb.cgi?T=JS&amp;NEWS=n&amp;CSC=Y&amp;PAGE=booktext&amp;D=books&amp;AN=01382485$&amp;XPATH=/PG(0)")</f>
        <v>http://ovidsp.ovid.com/ovidweb.cgi?T=JS&amp;NEWS=n&amp;CSC=Y&amp;PAGE=booktext&amp;D=books&amp;AN=01382485$&amp;XPATH=/PG(0)</v>
      </c>
      <c r="G471" s="2" t="s">
        <v>17</v>
      </c>
    </row>
    <row r="472" spans="1:7" x14ac:dyDescent="0.15">
      <c r="A472" s="2" t="s">
        <v>1433</v>
      </c>
      <c r="B472" s="2" t="s">
        <v>1434</v>
      </c>
      <c r="C472" s="2" t="s">
        <v>1435</v>
      </c>
      <c r="D472" s="2" t="s">
        <v>10</v>
      </c>
      <c r="E472" s="2" t="s">
        <v>235</v>
      </c>
      <c r="F472" s="3" t="str">
        <f>HYPERLINK("http://ovidsp.ovid.com/ovidweb.cgi?T=JS&amp;NEWS=n&amp;CSC=Y&amp;PAGE=booktext&amp;D=books&amp;AN=00139954$&amp;XPATH=/PG(0)","http://ovidsp.ovid.com/ovidweb.cgi?T=JS&amp;NEWS=n&amp;CSC=Y&amp;PAGE=booktext&amp;D=books&amp;AN=00139954$&amp;XPATH=/PG(0)")</f>
        <v>http://ovidsp.ovid.com/ovidweb.cgi?T=JS&amp;NEWS=n&amp;CSC=Y&amp;PAGE=booktext&amp;D=books&amp;AN=00139954$&amp;XPATH=/PG(0)</v>
      </c>
      <c r="G472" s="2" t="s">
        <v>12</v>
      </c>
    </row>
    <row r="473" spans="1:7" x14ac:dyDescent="0.15">
      <c r="A473" s="2" t="s">
        <v>1436</v>
      </c>
      <c r="B473" s="2" t="s">
        <v>1437</v>
      </c>
      <c r="C473" s="2" t="s">
        <v>1438</v>
      </c>
      <c r="D473" s="2" t="s">
        <v>10</v>
      </c>
      <c r="E473" s="2" t="s">
        <v>49</v>
      </c>
      <c r="F473" s="3" t="str">
        <f>HYPERLINK("http://ovidsp.ovid.com/ovidweb.cgi?T=JS&amp;NEWS=n&amp;CSC=Y&amp;PAGE=booktext&amp;D=books&amp;AN=01382597$&amp;XPATH=/PG(0)","http://ovidsp.ovid.com/ovidweb.cgi?T=JS&amp;NEWS=n&amp;CSC=Y&amp;PAGE=booktext&amp;D=books&amp;AN=01382597$&amp;XPATH=/PG(0)")</f>
        <v>http://ovidsp.ovid.com/ovidweb.cgi?T=JS&amp;NEWS=n&amp;CSC=Y&amp;PAGE=booktext&amp;D=books&amp;AN=01382597$&amp;XPATH=/PG(0)</v>
      </c>
      <c r="G473" s="2" t="s">
        <v>17</v>
      </c>
    </row>
    <row r="474" spans="1:7" x14ac:dyDescent="0.15">
      <c r="A474" s="2" t="s">
        <v>1439</v>
      </c>
      <c r="B474" s="2" t="s">
        <v>1440</v>
      </c>
      <c r="C474" s="2" t="s">
        <v>1441</v>
      </c>
      <c r="D474" s="2" t="s">
        <v>10</v>
      </c>
      <c r="E474" s="2" t="s">
        <v>251</v>
      </c>
      <c r="F474" s="3" t="str">
        <f>HYPERLINK("http://ovidsp.ovid.com/ovidweb.cgi?T=JS&amp;NEWS=n&amp;CSC=Y&amp;PAGE=booktext&amp;D=books&amp;AN=00139955$&amp;XPATH=/PG(0)","http://ovidsp.ovid.com/ovidweb.cgi?T=JS&amp;NEWS=n&amp;CSC=Y&amp;PAGE=booktext&amp;D=books&amp;AN=00139955$&amp;XPATH=/PG(0)")</f>
        <v>http://ovidsp.ovid.com/ovidweb.cgi?T=JS&amp;NEWS=n&amp;CSC=Y&amp;PAGE=booktext&amp;D=books&amp;AN=00139955$&amp;XPATH=/PG(0)</v>
      </c>
      <c r="G474" s="2" t="s">
        <v>17</v>
      </c>
    </row>
    <row r="475" spans="1:7" x14ac:dyDescent="0.15">
      <c r="A475" s="2" t="s">
        <v>1442</v>
      </c>
      <c r="B475" s="2" t="s">
        <v>1443</v>
      </c>
      <c r="C475" s="2" t="s">
        <v>1444</v>
      </c>
      <c r="D475" s="2" t="s">
        <v>10</v>
      </c>
      <c r="E475" s="2" t="s">
        <v>53</v>
      </c>
      <c r="F475" s="3" t="str">
        <f>HYPERLINK("http://ovidsp.ovid.com/ovidweb.cgi?T=JS&amp;NEWS=n&amp;CSC=Y&amp;PAGE=booktext&amp;D=books&amp;AN=01382599$&amp;XPATH=/PG(0)","http://ovidsp.ovid.com/ovidweb.cgi?T=JS&amp;NEWS=n&amp;CSC=Y&amp;PAGE=booktext&amp;D=books&amp;AN=01382599$&amp;XPATH=/PG(0)")</f>
        <v>http://ovidsp.ovid.com/ovidweb.cgi?T=JS&amp;NEWS=n&amp;CSC=Y&amp;PAGE=booktext&amp;D=books&amp;AN=01382599$&amp;XPATH=/PG(0)</v>
      </c>
      <c r="G475" s="2" t="s">
        <v>17</v>
      </c>
    </row>
    <row r="476" spans="1:7" x14ac:dyDescent="0.15">
      <c r="A476" s="2" t="s">
        <v>1445</v>
      </c>
      <c r="B476" s="2" t="s">
        <v>1446</v>
      </c>
      <c r="C476" s="2" t="s">
        <v>1447</v>
      </c>
      <c r="D476" s="2" t="s">
        <v>10</v>
      </c>
      <c r="E476" s="2" t="s">
        <v>251</v>
      </c>
      <c r="F476" s="3" t="str">
        <f>HYPERLINK("http://ovidsp.ovid.com/ovidweb.cgi?T=JS&amp;NEWS=n&amp;CSC=Y&amp;PAGE=booktext&amp;D=books&amp;AN=01279709$&amp;XPATH=/PG(0)","http://ovidsp.ovid.com/ovidweb.cgi?T=JS&amp;NEWS=n&amp;CSC=Y&amp;PAGE=booktext&amp;D=books&amp;AN=01279709$&amp;XPATH=/PG(0)")</f>
        <v>http://ovidsp.ovid.com/ovidweb.cgi?T=JS&amp;NEWS=n&amp;CSC=Y&amp;PAGE=booktext&amp;D=books&amp;AN=01279709$&amp;XPATH=/PG(0)</v>
      </c>
      <c r="G476" s="2" t="s">
        <v>17</v>
      </c>
    </row>
    <row r="477" spans="1:7" x14ac:dyDescent="0.15">
      <c r="A477" s="2" t="s">
        <v>1448</v>
      </c>
      <c r="B477" s="2" t="s">
        <v>1449</v>
      </c>
      <c r="C477" s="2" t="s">
        <v>1450</v>
      </c>
      <c r="D477" s="2" t="s">
        <v>10</v>
      </c>
      <c r="E477" s="2" t="s">
        <v>53</v>
      </c>
      <c r="F477" s="3" t="str">
        <f>HYPERLINK("http://ovidsp.ovid.com/ovidweb.cgi?T=JS&amp;NEWS=n&amp;CSC=Y&amp;PAGE=booktext&amp;D=books&amp;AN=00139956$&amp;XPATH=/PG(0)","http://ovidsp.ovid.com/ovidweb.cgi?T=JS&amp;NEWS=n&amp;CSC=Y&amp;PAGE=booktext&amp;D=books&amp;AN=00139956$&amp;XPATH=/PG(0)")</f>
        <v>http://ovidsp.ovid.com/ovidweb.cgi?T=JS&amp;NEWS=n&amp;CSC=Y&amp;PAGE=booktext&amp;D=books&amp;AN=00139956$&amp;XPATH=/PG(0)</v>
      </c>
      <c r="G477" s="2" t="s">
        <v>12</v>
      </c>
    </row>
    <row r="478" spans="1:7" x14ac:dyDescent="0.15">
      <c r="A478" s="2" t="s">
        <v>1451</v>
      </c>
      <c r="B478" s="2" t="s">
        <v>1452</v>
      </c>
      <c r="C478" s="2" t="s">
        <v>1453</v>
      </c>
      <c r="D478" s="2" t="s">
        <v>10</v>
      </c>
      <c r="E478" s="2" t="s">
        <v>235</v>
      </c>
      <c r="F478" s="3" t="str">
        <f>HYPERLINK("http://ovidsp.ovid.com/ovidweb.cgi?T=JS&amp;NEWS=n&amp;CSC=Y&amp;PAGE=booktext&amp;D=books&amp;AN=01312066$&amp;XPATH=/PG(0)","http://ovidsp.ovid.com/ovidweb.cgi?T=JS&amp;NEWS=n&amp;CSC=Y&amp;PAGE=booktext&amp;D=books&amp;AN=01312066$&amp;XPATH=/PG(0)")</f>
        <v>http://ovidsp.ovid.com/ovidweb.cgi?T=JS&amp;NEWS=n&amp;CSC=Y&amp;PAGE=booktext&amp;D=books&amp;AN=01312066$&amp;XPATH=/PG(0)</v>
      </c>
      <c r="G478" s="2" t="s">
        <v>17</v>
      </c>
    </row>
    <row r="479" spans="1:7" x14ac:dyDescent="0.15">
      <c r="A479" s="2" t="s">
        <v>1454</v>
      </c>
      <c r="B479" s="2" t="s">
        <v>1455</v>
      </c>
      <c r="C479" s="2" t="s">
        <v>1456</v>
      </c>
      <c r="D479" s="2" t="s">
        <v>10</v>
      </c>
      <c r="E479" s="2" t="s">
        <v>16</v>
      </c>
      <c r="F479" s="3" t="str">
        <f>HYPERLINK("http://ovidsp.ovid.com/ovidweb.cgi?T=JS&amp;NEWS=n&amp;CSC=Y&amp;PAGE=booktext&amp;D=books&amp;AN=01382563$&amp;XPATH=/PG(0)","http://ovidsp.ovid.com/ovidweb.cgi?T=JS&amp;NEWS=n&amp;CSC=Y&amp;PAGE=booktext&amp;D=books&amp;AN=01382563$&amp;XPATH=/PG(0)")</f>
        <v>http://ovidsp.ovid.com/ovidweb.cgi?T=JS&amp;NEWS=n&amp;CSC=Y&amp;PAGE=booktext&amp;D=books&amp;AN=01382563$&amp;XPATH=/PG(0)</v>
      </c>
      <c r="G479" s="2" t="s">
        <v>17</v>
      </c>
    </row>
    <row r="480" spans="1:7" x14ac:dyDescent="0.15">
      <c r="A480" s="2" t="s">
        <v>1457</v>
      </c>
      <c r="B480" s="2" t="s">
        <v>1458</v>
      </c>
      <c r="C480" s="2" t="s">
        <v>1459</v>
      </c>
      <c r="D480" s="2" t="s">
        <v>10</v>
      </c>
      <c r="E480" s="2" t="s">
        <v>235</v>
      </c>
      <c r="F480" s="3" t="str">
        <f>HYPERLINK("http://ovidsp.ovid.com/ovidweb.cgi?T=JS&amp;NEWS=n&amp;CSC=Y&amp;PAGE=booktext&amp;D=books&amp;AN=01257021$&amp;XPATH=/PG(0)","http://ovidsp.ovid.com/ovidweb.cgi?T=JS&amp;NEWS=n&amp;CSC=Y&amp;PAGE=booktext&amp;D=books&amp;AN=01257021$&amp;XPATH=/PG(0)")</f>
        <v>http://ovidsp.ovid.com/ovidweb.cgi?T=JS&amp;NEWS=n&amp;CSC=Y&amp;PAGE=booktext&amp;D=books&amp;AN=01257021$&amp;XPATH=/PG(0)</v>
      </c>
      <c r="G480" s="2" t="s">
        <v>17</v>
      </c>
    </row>
    <row r="481" spans="1:7" x14ac:dyDescent="0.15">
      <c r="A481" s="2" t="s">
        <v>1460</v>
      </c>
      <c r="B481" s="2" t="s">
        <v>1461</v>
      </c>
      <c r="C481" s="2" t="s">
        <v>1462</v>
      </c>
      <c r="D481" s="2" t="s">
        <v>10</v>
      </c>
      <c r="E481" s="2" t="s">
        <v>49</v>
      </c>
      <c r="F481" s="3" t="str">
        <f>HYPERLINK("http://ovidsp.ovid.com/ovidweb.cgi?T=JS&amp;NEWS=n&amp;CSC=Y&amp;PAGE=booktext&amp;D=books&amp;AN=00139957$&amp;XPATH=/PG(0)","http://ovidsp.ovid.com/ovidweb.cgi?T=JS&amp;NEWS=n&amp;CSC=Y&amp;PAGE=booktext&amp;D=books&amp;AN=00139957$&amp;XPATH=/PG(0)")</f>
        <v>http://ovidsp.ovid.com/ovidweb.cgi?T=JS&amp;NEWS=n&amp;CSC=Y&amp;PAGE=booktext&amp;D=books&amp;AN=00139957$&amp;XPATH=/PG(0)</v>
      </c>
      <c r="G481" s="2" t="s">
        <v>17</v>
      </c>
    </row>
    <row r="482" spans="1:7" x14ac:dyDescent="0.15">
      <c r="A482" s="2" t="s">
        <v>1463</v>
      </c>
      <c r="B482" s="2" t="s">
        <v>1464</v>
      </c>
      <c r="C482" s="2" t="s">
        <v>1465</v>
      </c>
      <c r="D482" s="2" t="s">
        <v>10</v>
      </c>
      <c r="E482" s="2" t="s">
        <v>16</v>
      </c>
      <c r="F482" s="3" t="str">
        <f>HYPERLINK("http://ovidsp.ovid.com/ovidweb.cgi?T=JS&amp;NEWS=n&amp;CSC=Y&amp;PAGE=booktext&amp;D=books&amp;AN=01382585$&amp;XPATH=/PG(0)","http://ovidsp.ovid.com/ovidweb.cgi?T=JS&amp;NEWS=n&amp;CSC=Y&amp;PAGE=booktext&amp;D=books&amp;AN=01382585$&amp;XPATH=/PG(0)")</f>
        <v>http://ovidsp.ovid.com/ovidweb.cgi?T=JS&amp;NEWS=n&amp;CSC=Y&amp;PAGE=booktext&amp;D=books&amp;AN=01382585$&amp;XPATH=/PG(0)</v>
      </c>
      <c r="G482" s="2" t="s">
        <v>17</v>
      </c>
    </row>
    <row r="483" spans="1:7" x14ac:dyDescent="0.15">
      <c r="A483" s="2" t="s">
        <v>1466</v>
      </c>
      <c r="B483" s="2" t="s">
        <v>1467</v>
      </c>
      <c r="C483" s="2" t="s">
        <v>1468</v>
      </c>
      <c r="D483" s="2" t="s">
        <v>10</v>
      </c>
      <c r="E483" s="2" t="s">
        <v>251</v>
      </c>
      <c r="F483" s="3" t="str">
        <f>HYPERLINK("http://ovidsp.ovid.com/ovidweb.cgi?T=JS&amp;NEWS=n&amp;CSC=Y&amp;PAGE=booktext&amp;D=books&amp;AN=01257022$&amp;XPATH=/PG(0)","http://ovidsp.ovid.com/ovidweb.cgi?T=JS&amp;NEWS=n&amp;CSC=Y&amp;PAGE=booktext&amp;D=books&amp;AN=01257022$&amp;XPATH=/PG(0)")</f>
        <v>http://ovidsp.ovid.com/ovidweb.cgi?T=JS&amp;NEWS=n&amp;CSC=Y&amp;PAGE=booktext&amp;D=books&amp;AN=01257022$&amp;XPATH=/PG(0)</v>
      </c>
      <c r="G483" s="2" t="s">
        <v>17</v>
      </c>
    </row>
    <row r="484" spans="1:7" x14ac:dyDescent="0.15">
      <c r="A484" s="2" t="s">
        <v>1469</v>
      </c>
      <c r="B484" s="2" t="s">
        <v>1470</v>
      </c>
      <c r="C484" s="2" t="s">
        <v>1471</v>
      </c>
      <c r="D484" s="2" t="s">
        <v>10</v>
      </c>
      <c r="E484" s="2" t="s">
        <v>16</v>
      </c>
      <c r="F484" s="3" t="str">
        <f>HYPERLINK("http://ovidsp.ovid.com/ovidweb.cgi?T=JS&amp;NEWS=n&amp;CSC=Y&amp;PAGE=booktext&amp;D=books&amp;AN=01382586$&amp;XPATH=/PG(0)","http://ovidsp.ovid.com/ovidweb.cgi?T=JS&amp;NEWS=n&amp;CSC=Y&amp;PAGE=booktext&amp;D=books&amp;AN=01382586$&amp;XPATH=/PG(0)")</f>
        <v>http://ovidsp.ovid.com/ovidweb.cgi?T=JS&amp;NEWS=n&amp;CSC=Y&amp;PAGE=booktext&amp;D=books&amp;AN=01382586$&amp;XPATH=/PG(0)</v>
      </c>
      <c r="G484" s="2" t="s">
        <v>17</v>
      </c>
    </row>
    <row r="485" spans="1:7" x14ac:dyDescent="0.15">
      <c r="A485" s="2" t="s">
        <v>1472</v>
      </c>
      <c r="B485" s="2" t="s">
        <v>1473</v>
      </c>
      <c r="C485" s="2" t="s">
        <v>1474</v>
      </c>
      <c r="D485" s="2" t="s">
        <v>10</v>
      </c>
      <c r="E485" s="2" t="s">
        <v>95</v>
      </c>
      <c r="F485" s="3" t="str">
        <f>HYPERLINK("http://ovidsp.ovid.com/ovidweb.cgi?T=JS&amp;NEWS=n&amp;CSC=Y&amp;PAGE=booktext&amp;D=books&amp;AN=01223025$&amp;XPATH=/PG(0)","http://ovidsp.ovid.com/ovidweb.cgi?T=JS&amp;NEWS=n&amp;CSC=Y&amp;PAGE=booktext&amp;D=books&amp;AN=01223025$&amp;XPATH=/PG(0)")</f>
        <v>http://ovidsp.ovid.com/ovidweb.cgi?T=JS&amp;NEWS=n&amp;CSC=Y&amp;PAGE=booktext&amp;D=books&amp;AN=01223025$&amp;XPATH=/PG(0)</v>
      </c>
      <c r="G485" s="2" t="s">
        <v>17</v>
      </c>
    </row>
    <row r="486" spans="1:7" x14ac:dyDescent="0.15">
      <c r="A486" s="2" t="s">
        <v>1475</v>
      </c>
      <c r="B486" s="2" t="s">
        <v>1476</v>
      </c>
      <c r="C486" s="2" t="s">
        <v>1477</v>
      </c>
      <c r="D486" s="2" t="s">
        <v>10</v>
      </c>
      <c r="E486" s="2" t="s">
        <v>45</v>
      </c>
      <c r="F486" s="3" t="str">
        <f>HYPERLINK("http://ovidsp.ovid.com/ovidweb.cgi?T=JS&amp;NEWS=n&amp;CSC=Y&amp;PAGE=booktext&amp;D=books&amp;AN=01279750$&amp;XPATH=/PG(0)","http://ovidsp.ovid.com/ovidweb.cgi?T=JS&amp;NEWS=n&amp;CSC=Y&amp;PAGE=booktext&amp;D=books&amp;AN=01279750$&amp;XPATH=/PG(0)")</f>
        <v>http://ovidsp.ovid.com/ovidweb.cgi?T=JS&amp;NEWS=n&amp;CSC=Y&amp;PAGE=booktext&amp;D=books&amp;AN=01279750$&amp;XPATH=/PG(0)</v>
      </c>
      <c r="G486" s="2" t="s">
        <v>17</v>
      </c>
    </row>
    <row r="487" spans="1:7" x14ac:dyDescent="0.15">
      <c r="A487" s="2" t="s">
        <v>1478</v>
      </c>
      <c r="B487" s="2" t="s">
        <v>1479</v>
      </c>
      <c r="C487" s="2" t="s">
        <v>1480</v>
      </c>
      <c r="D487" s="2" t="s">
        <v>10</v>
      </c>
      <c r="E487" s="2" t="s">
        <v>16</v>
      </c>
      <c r="F487" s="3" t="str">
        <f>HYPERLINK("http://ovidsp.ovid.com/ovidweb.cgi?T=JS&amp;NEWS=n&amp;CSC=Y&amp;PAGE=booktext&amp;D=books&amp;AN=01382600$&amp;XPATH=/PG(0)","http://ovidsp.ovid.com/ovidweb.cgi?T=JS&amp;NEWS=n&amp;CSC=Y&amp;PAGE=booktext&amp;D=books&amp;AN=01382600$&amp;XPATH=/PG(0)")</f>
        <v>http://ovidsp.ovid.com/ovidweb.cgi?T=JS&amp;NEWS=n&amp;CSC=Y&amp;PAGE=booktext&amp;D=books&amp;AN=01382600$&amp;XPATH=/PG(0)</v>
      </c>
      <c r="G487" s="2" t="s">
        <v>17</v>
      </c>
    </row>
    <row r="488" spans="1:7" x14ac:dyDescent="0.15">
      <c r="A488" s="2" t="s">
        <v>1481</v>
      </c>
      <c r="B488" s="2" t="s">
        <v>1482</v>
      </c>
      <c r="C488" s="2" t="s">
        <v>1483</v>
      </c>
      <c r="D488" s="2" t="s">
        <v>10</v>
      </c>
      <c r="E488" s="2" t="s">
        <v>1484</v>
      </c>
      <c r="F488" s="3" t="str">
        <f>HYPERLINK("http://ovidsp.ovid.com/ovidweb.cgi?T=JS&amp;NEWS=n&amp;CSC=Y&amp;PAGE=booktext&amp;D=books&amp;AN=01329157$&amp;XPATH=/PG(0)","http://ovidsp.ovid.com/ovidweb.cgi?T=JS&amp;NEWS=n&amp;CSC=Y&amp;PAGE=booktext&amp;D=books&amp;AN=01329157$&amp;XPATH=/PG(0)")</f>
        <v>http://ovidsp.ovid.com/ovidweb.cgi?T=JS&amp;NEWS=n&amp;CSC=Y&amp;PAGE=booktext&amp;D=books&amp;AN=01329157$&amp;XPATH=/PG(0)</v>
      </c>
      <c r="G488" s="2" t="s">
        <v>17</v>
      </c>
    </row>
    <row r="489" spans="1:7" x14ac:dyDescent="0.15">
      <c r="A489" s="2" t="s">
        <v>1481</v>
      </c>
      <c r="B489" s="2" t="s">
        <v>1485</v>
      </c>
      <c r="C489" s="2" t="s">
        <v>1486</v>
      </c>
      <c r="D489" s="2" t="s">
        <v>10</v>
      </c>
      <c r="E489" s="2" t="s">
        <v>606</v>
      </c>
      <c r="F489" s="3" t="str">
        <f>HYPERLINK("http://ovidsp.ovid.com/ovidweb.cgi?T=JS&amp;NEWS=n&amp;CSC=Y&amp;PAGE=booktext&amp;D=books&amp;AN=00139961$&amp;XPATH=/PG(0)","http://ovidsp.ovid.com/ovidweb.cgi?T=JS&amp;NEWS=n&amp;CSC=Y&amp;PAGE=booktext&amp;D=books&amp;AN=00139961$&amp;XPATH=/PG(0)")</f>
        <v>http://ovidsp.ovid.com/ovidweb.cgi?T=JS&amp;NEWS=n&amp;CSC=Y&amp;PAGE=booktext&amp;D=books&amp;AN=00139961$&amp;XPATH=/PG(0)</v>
      </c>
      <c r="G489" s="2" t="s">
        <v>17</v>
      </c>
    </row>
    <row r="490" spans="1:7" x14ac:dyDescent="0.15">
      <c r="A490" s="2" t="s">
        <v>1487</v>
      </c>
      <c r="B490" s="2" t="s">
        <v>1488</v>
      </c>
      <c r="C490" s="2" t="s">
        <v>1489</v>
      </c>
      <c r="D490" s="2" t="s">
        <v>10</v>
      </c>
      <c r="E490" s="2" t="s">
        <v>95</v>
      </c>
      <c r="F490" s="3" t="str">
        <f>HYPERLINK("http://ovidsp.ovid.com/ovidweb.cgi?T=JS&amp;NEWS=n&amp;CSC=Y&amp;PAGE=booktext&amp;D=books&amp;AN=01382588$&amp;XPATH=/PG(0)","http://ovidsp.ovid.com/ovidweb.cgi?T=JS&amp;NEWS=n&amp;CSC=Y&amp;PAGE=booktext&amp;D=books&amp;AN=01382588$&amp;XPATH=/PG(0)")</f>
        <v>http://ovidsp.ovid.com/ovidweb.cgi?T=JS&amp;NEWS=n&amp;CSC=Y&amp;PAGE=booktext&amp;D=books&amp;AN=01382588$&amp;XPATH=/PG(0)</v>
      </c>
      <c r="G490" s="2" t="s">
        <v>17</v>
      </c>
    </row>
    <row r="491" spans="1:7" x14ac:dyDescent="0.15">
      <c r="A491" s="2" t="s">
        <v>1490</v>
      </c>
      <c r="B491" s="2" t="s">
        <v>1491</v>
      </c>
      <c r="C491" s="2" t="s">
        <v>1492</v>
      </c>
      <c r="D491" s="2" t="s">
        <v>10</v>
      </c>
      <c r="E491" s="2" t="s">
        <v>45</v>
      </c>
      <c r="F491" s="3" t="str">
        <f>HYPERLINK("http://ovidsp.ovid.com/ovidweb.cgi?T=JS&amp;NEWS=n&amp;CSC=Y&amp;PAGE=booktext&amp;D=books&amp;AN=01279719$&amp;XPATH=/PG(0)","http://ovidsp.ovid.com/ovidweb.cgi?T=JS&amp;NEWS=n&amp;CSC=Y&amp;PAGE=booktext&amp;D=books&amp;AN=01279719$&amp;XPATH=/PG(0)")</f>
        <v>http://ovidsp.ovid.com/ovidweb.cgi?T=JS&amp;NEWS=n&amp;CSC=Y&amp;PAGE=booktext&amp;D=books&amp;AN=01279719$&amp;XPATH=/PG(0)</v>
      </c>
      <c r="G491" s="2" t="s">
        <v>17</v>
      </c>
    </row>
    <row r="492" spans="1:7" x14ac:dyDescent="0.15">
      <c r="A492" s="2" t="s">
        <v>1493</v>
      </c>
      <c r="B492" s="2" t="s">
        <v>1494</v>
      </c>
      <c r="C492" s="2" t="s">
        <v>1495</v>
      </c>
      <c r="D492" s="2" t="s">
        <v>10</v>
      </c>
      <c r="E492" s="2" t="s">
        <v>95</v>
      </c>
      <c r="F492" s="3" t="str">
        <f>HYPERLINK("http://ovidsp.ovid.com/ovidweb.cgi?T=JS&amp;NEWS=n&amp;CSC=Y&amp;PAGE=booktext&amp;D=books&amp;AN=00139962$&amp;XPATH=/PG(0)","http://ovidsp.ovid.com/ovidweb.cgi?T=JS&amp;NEWS=n&amp;CSC=Y&amp;PAGE=booktext&amp;D=books&amp;AN=00139962$&amp;XPATH=/PG(0)")</f>
        <v>http://ovidsp.ovid.com/ovidweb.cgi?T=JS&amp;NEWS=n&amp;CSC=Y&amp;PAGE=booktext&amp;D=books&amp;AN=00139962$&amp;XPATH=/PG(0)</v>
      </c>
      <c r="G492" s="2" t="s">
        <v>17</v>
      </c>
    </row>
    <row r="493" spans="1:7" x14ac:dyDescent="0.15">
      <c r="A493" s="2" t="s">
        <v>1496</v>
      </c>
      <c r="B493" s="2" t="s">
        <v>1497</v>
      </c>
      <c r="C493" s="2" t="s">
        <v>1498</v>
      </c>
      <c r="D493" s="2" t="s">
        <v>10</v>
      </c>
      <c r="E493" s="2" t="s">
        <v>45</v>
      </c>
      <c r="F493" s="3" t="str">
        <f>HYPERLINK("http://ovidsp.ovid.com/ovidweb.cgi?T=JS&amp;NEWS=n&amp;CSC=Y&amp;PAGE=booktext&amp;D=books&amp;AN=01257023$&amp;XPATH=/PG(0)","http://ovidsp.ovid.com/ovidweb.cgi?T=JS&amp;NEWS=n&amp;CSC=Y&amp;PAGE=booktext&amp;D=books&amp;AN=01257023$&amp;XPATH=/PG(0)")</f>
        <v>http://ovidsp.ovid.com/ovidweb.cgi?T=JS&amp;NEWS=n&amp;CSC=Y&amp;PAGE=booktext&amp;D=books&amp;AN=01257023$&amp;XPATH=/PG(0)</v>
      </c>
      <c r="G493" s="2" t="s">
        <v>17</v>
      </c>
    </row>
    <row r="494" spans="1:7" x14ac:dyDescent="0.15">
      <c r="A494" s="2" t="s">
        <v>1499</v>
      </c>
      <c r="B494" s="2" t="s">
        <v>1500</v>
      </c>
      <c r="C494" s="2" t="s">
        <v>1501</v>
      </c>
      <c r="D494" s="2" t="s">
        <v>10</v>
      </c>
      <c r="E494" s="2" t="s">
        <v>45</v>
      </c>
      <c r="F494" s="3" t="str">
        <f>HYPERLINK("http://ovidsp.ovid.com/ovidweb.cgi?T=JS&amp;NEWS=n&amp;CSC=Y&amp;PAGE=booktext&amp;D=books&amp;AN=01382610$&amp;XPATH=/PG(0)","http://ovidsp.ovid.com/ovidweb.cgi?T=JS&amp;NEWS=n&amp;CSC=Y&amp;PAGE=booktext&amp;D=books&amp;AN=01382610$&amp;XPATH=/PG(0)")</f>
        <v>http://ovidsp.ovid.com/ovidweb.cgi?T=JS&amp;NEWS=n&amp;CSC=Y&amp;PAGE=booktext&amp;D=books&amp;AN=01382610$&amp;XPATH=/PG(0)</v>
      </c>
      <c r="G494" s="2" t="s">
        <v>17</v>
      </c>
    </row>
    <row r="495" spans="1:7" x14ac:dyDescent="0.15">
      <c r="A495" s="2" t="s">
        <v>1502</v>
      </c>
      <c r="B495" s="2" t="s">
        <v>1503</v>
      </c>
      <c r="C495" s="2" t="s">
        <v>1504</v>
      </c>
      <c r="D495" s="2" t="s">
        <v>10</v>
      </c>
      <c r="E495" s="2" t="s">
        <v>95</v>
      </c>
      <c r="F495" s="3" t="str">
        <f>HYPERLINK("http://ovidsp.ovid.com/ovidweb.cgi?T=JS&amp;NEWS=n&amp;CSC=Y&amp;PAGE=booktext&amp;D=books&amp;AN=01284352$&amp;XPATH=/PG(0)","http://ovidsp.ovid.com/ovidweb.cgi?T=JS&amp;NEWS=n&amp;CSC=Y&amp;PAGE=booktext&amp;D=books&amp;AN=01284352$&amp;XPATH=/PG(0)")</f>
        <v>http://ovidsp.ovid.com/ovidweb.cgi?T=JS&amp;NEWS=n&amp;CSC=Y&amp;PAGE=booktext&amp;D=books&amp;AN=01284352$&amp;XPATH=/PG(0)</v>
      </c>
      <c r="G495" s="2" t="s">
        <v>17</v>
      </c>
    </row>
    <row r="496" spans="1:7" x14ac:dyDescent="0.15">
      <c r="A496" s="2" t="s">
        <v>1505</v>
      </c>
      <c r="B496" s="2" t="s">
        <v>1506</v>
      </c>
      <c r="C496" s="2" t="s">
        <v>1507</v>
      </c>
      <c r="D496" s="2" t="s">
        <v>10</v>
      </c>
      <c r="E496" s="2" t="s">
        <v>45</v>
      </c>
      <c r="F496" s="3" t="str">
        <f>HYPERLINK("http://ovidsp.ovid.com/ovidweb.cgi?T=JS&amp;NEWS=n&amp;CSC=Y&amp;PAGE=booktext&amp;D=books&amp;AN=01257024$&amp;XPATH=/PG(0)","http://ovidsp.ovid.com/ovidweb.cgi?T=JS&amp;NEWS=n&amp;CSC=Y&amp;PAGE=booktext&amp;D=books&amp;AN=01257024$&amp;XPATH=/PG(0)")</f>
        <v>http://ovidsp.ovid.com/ovidweb.cgi?T=JS&amp;NEWS=n&amp;CSC=Y&amp;PAGE=booktext&amp;D=books&amp;AN=01257024$&amp;XPATH=/PG(0)</v>
      </c>
      <c r="G496" s="2" t="s">
        <v>17</v>
      </c>
    </row>
    <row r="497" spans="1:7" x14ac:dyDescent="0.15">
      <c r="A497" s="2" t="s">
        <v>1508</v>
      </c>
      <c r="B497" s="2" t="s">
        <v>1509</v>
      </c>
      <c r="C497" s="2" t="s">
        <v>1510</v>
      </c>
      <c r="D497" s="2" t="s">
        <v>10</v>
      </c>
      <c r="E497" s="2" t="s">
        <v>45</v>
      </c>
      <c r="F497" s="3" t="str">
        <f>HYPERLINK("http://ovidsp.ovid.com/ovidweb.cgi?T=JS&amp;NEWS=n&amp;CSC=Y&amp;PAGE=booktext&amp;D=books&amp;AN=01382607$&amp;XPATH=/PG(0)","http://ovidsp.ovid.com/ovidweb.cgi?T=JS&amp;NEWS=n&amp;CSC=Y&amp;PAGE=booktext&amp;D=books&amp;AN=01382607$&amp;XPATH=/PG(0)")</f>
        <v>http://ovidsp.ovid.com/ovidweb.cgi?T=JS&amp;NEWS=n&amp;CSC=Y&amp;PAGE=booktext&amp;D=books&amp;AN=01382607$&amp;XPATH=/PG(0)</v>
      </c>
      <c r="G497" s="2" t="s">
        <v>17</v>
      </c>
    </row>
    <row r="498" spans="1:7" x14ac:dyDescent="0.15">
      <c r="A498" s="2" t="s">
        <v>1511</v>
      </c>
      <c r="B498" s="2" t="s">
        <v>1512</v>
      </c>
      <c r="C498" s="2" t="s">
        <v>1513</v>
      </c>
      <c r="D498" s="2" t="s">
        <v>10</v>
      </c>
      <c r="E498" s="2" t="s">
        <v>45</v>
      </c>
      <c r="F498" s="3" t="str">
        <f>HYPERLINK("http://ovidsp.ovid.com/ovidweb.cgi?T=JS&amp;NEWS=n&amp;CSC=Y&amp;PAGE=booktext&amp;D=books&amp;AN=01382608$&amp;XPATH=/PG(0)","http://ovidsp.ovid.com/ovidweb.cgi?T=JS&amp;NEWS=n&amp;CSC=Y&amp;PAGE=booktext&amp;D=books&amp;AN=01382608$&amp;XPATH=/PG(0)")</f>
        <v>http://ovidsp.ovid.com/ovidweb.cgi?T=JS&amp;NEWS=n&amp;CSC=Y&amp;PAGE=booktext&amp;D=books&amp;AN=01382608$&amp;XPATH=/PG(0)</v>
      </c>
      <c r="G498" s="2" t="s">
        <v>17</v>
      </c>
    </row>
    <row r="499" spans="1:7" x14ac:dyDescent="0.15">
      <c r="A499" s="2" t="s">
        <v>1514</v>
      </c>
      <c r="B499" s="2" t="s">
        <v>1515</v>
      </c>
      <c r="C499" s="2" t="s">
        <v>1516</v>
      </c>
      <c r="D499" s="2" t="s">
        <v>10</v>
      </c>
      <c r="E499" s="2" t="s">
        <v>45</v>
      </c>
      <c r="F499" s="3" t="str">
        <f>HYPERLINK("http://ovidsp.ovid.com/ovidweb.cgi?T=JS&amp;NEWS=n&amp;CSC=Y&amp;PAGE=booktext&amp;D=books&amp;AN=01382613$&amp;XPATH=/PG(0)","http://ovidsp.ovid.com/ovidweb.cgi?T=JS&amp;NEWS=n&amp;CSC=Y&amp;PAGE=booktext&amp;D=books&amp;AN=01382613$&amp;XPATH=/PG(0)")</f>
        <v>http://ovidsp.ovid.com/ovidweb.cgi?T=JS&amp;NEWS=n&amp;CSC=Y&amp;PAGE=booktext&amp;D=books&amp;AN=01382613$&amp;XPATH=/PG(0)</v>
      </c>
      <c r="G499" s="2" t="s">
        <v>17</v>
      </c>
    </row>
    <row r="500" spans="1:7" x14ac:dyDescent="0.15">
      <c r="A500" s="2" t="s">
        <v>1517</v>
      </c>
      <c r="B500" s="2" t="s">
        <v>1518</v>
      </c>
      <c r="C500" s="2" t="s">
        <v>1519</v>
      </c>
      <c r="D500" s="2" t="s">
        <v>10</v>
      </c>
      <c r="E500" s="2" t="s">
        <v>45</v>
      </c>
      <c r="F500" s="3" t="str">
        <f>HYPERLINK("http://ovidsp.ovid.com/ovidweb.cgi?T=JS&amp;NEWS=n&amp;CSC=Y&amp;PAGE=booktext&amp;D=books&amp;AN=01382614$&amp;XPATH=/PG(0)","http://ovidsp.ovid.com/ovidweb.cgi?T=JS&amp;NEWS=n&amp;CSC=Y&amp;PAGE=booktext&amp;D=books&amp;AN=01382614$&amp;XPATH=/PG(0)")</f>
        <v>http://ovidsp.ovid.com/ovidweb.cgi?T=JS&amp;NEWS=n&amp;CSC=Y&amp;PAGE=booktext&amp;D=books&amp;AN=01382614$&amp;XPATH=/PG(0)</v>
      </c>
      <c r="G500" s="2" t="s">
        <v>17</v>
      </c>
    </row>
    <row r="501" spans="1:7" x14ac:dyDescent="0.15">
      <c r="A501" s="2" t="s">
        <v>1520</v>
      </c>
      <c r="B501" s="2" t="s">
        <v>1521</v>
      </c>
      <c r="C501" s="2" t="s">
        <v>1522</v>
      </c>
      <c r="D501" s="2" t="s">
        <v>10</v>
      </c>
      <c r="E501" s="2" t="s">
        <v>45</v>
      </c>
      <c r="F501" s="3" t="str">
        <f>HYPERLINK("http://ovidsp.ovid.com/ovidweb.cgi?T=JS&amp;NEWS=n&amp;CSC=Y&amp;PAGE=booktext&amp;D=books&amp;AN=01382609$&amp;XPATH=/PG(0)","http://ovidsp.ovid.com/ovidweb.cgi?T=JS&amp;NEWS=n&amp;CSC=Y&amp;PAGE=booktext&amp;D=books&amp;AN=01382609$&amp;XPATH=/PG(0)")</f>
        <v>http://ovidsp.ovid.com/ovidweb.cgi?T=JS&amp;NEWS=n&amp;CSC=Y&amp;PAGE=booktext&amp;D=books&amp;AN=01382609$&amp;XPATH=/PG(0)</v>
      </c>
      <c r="G501" s="2" t="s">
        <v>17</v>
      </c>
    </row>
    <row r="502" spans="1:7" x14ac:dyDescent="0.15">
      <c r="A502" s="2" t="s">
        <v>1523</v>
      </c>
      <c r="B502" s="2" t="s">
        <v>1524</v>
      </c>
      <c r="C502" s="2" t="s">
        <v>1525</v>
      </c>
      <c r="D502" s="2" t="s">
        <v>10</v>
      </c>
      <c r="E502" s="2" t="s">
        <v>45</v>
      </c>
      <c r="F502" s="3" t="str">
        <f>HYPERLINK("http://ovidsp.ovid.com/ovidweb.cgi?T=JS&amp;NEWS=n&amp;CSC=Y&amp;PAGE=booktext&amp;D=books&amp;AN=01382860$&amp;XPATH=/PG(0)","http://ovidsp.ovid.com/ovidweb.cgi?T=JS&amp;NEWS=n&amp;CSC=Y&amp;PAGE=booktext&amp;D=books&amp;AN=01382860$&amp;XPATH=/PG(0)")</f>
        <v>http://ovidsp.ovid.com/ovidweb.cgi?T=JS&amp;NEWS=n&amp;CSC=Y&amp;PAGE=booktext&amp;D=books&amp;AN=01382860$&amp;XPATH=/PG(0)</v>
      </c>
      <c r="G502" s="2" t="s">
        <v>17</v>
      </c>
    </row>
    <row r="503" spans="1:7" x14ac:dyDescent="0.15">
      <c r="A503" s="2" t="s">
        <v>1526</v>
      </c>
      <c r="B503" s="2" t="s">
        <v>1527</v>
      </c>
      <c r="C503" s="2" t="s">
        <v>1528</v>
      </c>
      <c r="D503" s="2" t="s">
        <v>10</v>
      </c>
      <c r="E503" s="2" t="s">
        <v>16</v>
      </c>
      <c r="F503" s="3" t="str">
        <f>HYPERLINK("http://ovidsp.ovid.com/ovidweb.cgi?T=JS&amp;NEWS=n&amp;CSC=Y&amp;PAGE=booktext&amp;D=books&amp;AN=01279751$&amp;XPATH=/PG(0)","http://ovidsp.ovid.com/ovidweb.cgi?T=JS&amp;NEWS=n&amp;CSC=Y&amp;PAGE=booktext&amp;D=books&amp;AN=01279751$&amp;XPATH=/PG(0)")</f>
        <v>http://ovidsp.ovid.com/ovidweb.cgi?T=JS&amp;NEWS=n&amp;CSC=Y&amp;PAGE=booktext&amp;D=books&amp;AN=01279751$&amp;XPATH=/PG(0)</v>
      </c>
      <c r="G503" s="2" t="s">
        <v>17</v>
      </c>
    </row>
    <row r="504" spans="1:7" x14ac:dyDescent="0.15">
      <c r="A504" s="2" t="s">
        <v>1529</v>
      </c>
      <c r="B504" s="2" t="s">
        <v>1530</v>
      </c>
      <c r="C504" s="2" t="s">
        <v>1531</v>
      </c>
      <c r="D504" s="2" t="s">
        <v>10</v>
      </c>
      <c r="E504" s="2" t="s">
        <v>45</v>
      </c>
      <c r="F504" s="3" t="str">
        <f>HYPERLINK("http://ovidsp.ovid.com/ovidweb.cgi?T=JS&amp;NEWS=n&amp;CSC=Y&amp;PAGE=booktext&amp;D=books&amp;AN=01257025$&amp;XPATH=/PG(0)","http://ovidsp.ovid.com/ovidweb.cgi?T=JS&amp;NEWS=n&amp;CSC=Y&amp;PAGE=booktext&amp;D=books&amp;AN=01257025$&amp;XPATH=/PG(0)")</f>
        <v>http://ovidsp.ovid.com/ovidweb.cgi?T=JS&amp;NEWS=n&amp;CSC=Y&amp;PAGE=booktext&amp;D=books&amp;AN=01257025$&amp;XPATH=/PG(0)</v>
      </c>
      <c r="G504" s="2" t="s">
        <v>17</v>
      </c>
    </row>
    <row r="505" spans="1:7" x14ac:dyDescent="0.15">
      <c r="A505" s="2" t="s">
        <v>1532</v>
      </c>
      <c r="B505" s="2" t="s">
        <v>1533</v>
      </c>
      <c r="C505" s="2" t="s">
        <v>1534</v>
      </c>
      <c r="D505" s="2" t="s">
        <v>10</v>
      </c>
      <c r="E505" s="2" t="s">
        <v>95</v>
      </c>
      <c r="F505" s="3" t="str">
        <f>HYPERLINK("http://ovidsp.ovid.com/ovidweb.cgi?T=JS&amp;NEWS=n&amp;CSC=Y&amp;PAGE=booktext&amp;D=books&amp;AN=01337296$&amp;XPATH=/PG(0)","http://ovidsp.ovid.com/ovidweb.cgi?T=JS&amp;NEWS=n&amp;CSC=Y&amp;PAGE=booktext&amp;D=books&amp;AN=01337296$&amp;XPATH=/PG(0)")</f>
        <v>http://ovidsp.ovid.com/ovidweb.cgi?T=JS&amp;NEWS=n&amp;CSC=Y&amp;PAGE=booktext&amp;D=books&amp;AN=01337296$&amp;XPATH=/PG(0)</v>
      </c>
      <c r="G505" s="2" t="s">
        <v>17</v>
      </c>
    </row>
    <row r="506" spans="1:7" x14ac:dyDescent="0.15">
      <c r="A506" s="2" t="s">
        <v>1535</v>
      </c>
      <c r="B506" s="2" t="s">
        <v>1536</v>
      </c>
      <c r="C506" s="2" t="s">
        <v>1537</v>
      </c>
      <c r="D506" s="2" t="s">
        <v>10</v>
      </c>
      <c r="E506" s="2" t="s">
        <v>53</v>
      </c>
      <c r="F506" s="3" t="str">
        <f>HYPERLINK("http://ovidsp.ovid.com/ovidweb.cgi?T=JS&amp;NEWS=n&amp;CSC=Y&amp;PAGE=booktext&amp;D=books&amp;AN=01273051$&amp;XPATH=/PG(0)","http://ovidsp.ovid.com/ovidweb.cgi?T=JS&amp;NEWS=n&amp;CSC=Y&amp;PAGE=booktext&amp;D=books&amp;AN=01273051$&amp;XPATH=/PG(0)")</f>
        <v>http://ovidsp.ovid.com/ovidweb.cgi?T=JS&amp;NEWS=n&amp;CSC=Y&amp;PAGE=booktext&amp;D=books&amp;AN=01273051$&amp;XPATH=/PG(0)</v>
      </c>
      <c r="G506" s="2" t="s">
        <v>17</v>
      </c>
    </row>
    <row r="507" spans="1:7" x14ac:dyDescent="0.15">
      <c r="A507" s="2" t="s">
        <v>1538</v>
      </c>
      <c r="B507" s="2" t="s">
        <v>1539</v>
      </c>
      <c r="C507" s="2" t="s">
        <v>1540</v>
      </c>
      <c r="D507" s="2" t="s">
        <v>10</v>
      </c>
      <c r="E507" s="2" t="s">
        <v>16</v>
      </c>
      <c r="F507" s="3" t="str">
        <f>HYPERLINK("http://ovidsp.ovid.com/ovidweb.cgi?T=JS&amp;NEWS=n&amp;CSC=Y&amp;PAGE=booktext&amp;D=books&amp;AN=01382590$&amp;XPATH=/PG(0)","http://ovidsp.ovid.com/ovidweb.cgi?T=JS&amp;NEWS=n&amp;CSC=Y&amp;PAGE=booktext&amp;D=books&amp;AN=01382590$&amp;XPATH=/PG(0)")</f>
        <v>http://ovidsp.ovid.com/ovidweb.cgi?T=JS&amp;NEWS=n&amp;CSC=Y&amp;PAGE=booktext&amp;D=books&amp;AN=01382590$&amp;XPATH=/PG(0)</v>
      </c>
      <c r="G507" s="2" t="s">
        <v>17</v>
      </c>
    </row>
    <row r="508" spans="1:7" x14ac:dyDescent="0.15">
      <c r="A508" s="2" t="s">
        <v>1541</v>
      </c>
      <c r="B508" s="2" t="s">
        <v>1542</v>
      </c>
      <c r="C508" s="2" t="s">
        <v>1543</v>
      </c>
      <c r="D508" s="2" t="s">
        <v>10</v>
      </c>
      <c r="E508" s="2" t="s">
        <v>45</v>
      </c>
      <c r="F508" s="3" t="str">
        <f>HYPERLINK("http://ovidsp.ovid.com/ovidweb.cgi?T=JS&amp;NEWS=n&amp;CSC=Y&amp;PAGE=booktext&amp;D=books&amp;AN=01382770$&amp;XPATH=/PG(0)","http://ovidsp.ovid.com/ovidweb.cgi?T=JS&amp;NEWS=n&amp;CSC=Y&amp;PAGE=booktext&amp;D=books&amp;AN=01382770$&amp;XPATH=/PG(0)")</f>
        <v>http://ovidsp.ovid.com/ovidweb.cgi?T=JS&amp;NEWS=n&amp;CSC=Y&amp;PAGE=booktext&amp;D=books&amp;AN=01382770$&amp;XPATH=/PG(0)</v>
      </c>
      <c r="G508" s="2" t="s">
        <v>12</v>
      </c>
    </row>
    <row r="509" spans="1:7" x14ac:dyDescent="0.15">
      <c r="A509" s="2" t="s">
        <v>1544</v>
      </c>
      <c r="B509" s="2" t="s">
        <v>1545</v>
      </c>
      <c r="C509" s="2" t="s">
        <v>1546</v>
      </c>
      <c r="D509" s="2" t="s">
        <v>10</v>
      </c>
      <c r="E509" s="2" t="s">
        <v>16</v>
      </c>
      <c r="F509" s="3" t="str">
        <f>HYPERLINK("http://ovidsp.ovid.com/ovidweb.cgi?T=JS&amp;NEWS=n&amp;CSC=Y&amp;PAGE=booktext&amp;D=books&amp;AN=01382724$&amp;XPATH=/PG(0)","http://ovidsp.ovid.com/ovidweb.cgi?T=JS&amp;NEWS=n&amp;CSC=Y&amp;PAGE=booktext&amp;D=books&amp;AN=01382724$&amp;XPATH=/PG(0)")</f>
        <v>http://ovidsp.ovid.com/ovidweb.cgi?T=JS&amp;NEWS=n&amp;CSC=Y&amp;PAGE=booktext&amp;D=books&amp;AN=01382724$&amp;XPATH=/PG(0)</v>
      </c>
      <c r="G509" s="2" t="s">
        <v>12</v>
      </c>
    </row>
    <row r="510" spans="1:7" x14ac:dyDescent="0.15">
      <c r="A510" s="2" t="s">
        <v>1547</v>
      </c>
      <c r="B510" s="2" t="s">
        <v>1548</v>
      </c>
      <c r="C510" s="2" t="s">
        <v>1549</v>
      </c>
      <c r="D510" s="2" t="s">
        <v>10</v>
      </c>
      <c r="E510" s="2" t="s">
        <v>45</v>
      </c>
      <c r="F510" s="3" t="str">
        <f>HYPERLINK("http://ovidsp.ovid.com/ovidweb.cgi?T=JS&amp;NEWS=n&amp;CSC=Y&amp;PAGE=booktext&amp;D=books&amp;AN=01382752$&amp;XPATH=/PG(0)","http://ovidsp.ovid.com/ovidweb.cgi?T=JS&amp;NEWS=n&amp;CSC=Y&amp;PAGE=booktext&amp;D=books&amp;AN=01382752$&amp;XPATH=/PG(0)")</f>
        <v>http://ovidsp.ovid.com/ovidweb.cgi?T=JS&amp;NEWS=n&amp;CSC=Y&amp;PAGE=booktext&amp;D=books&amp;AN=01382752$&amp;XPATH=/PG(0)</v>
      </c>
      <c r="G510" s="2" t="s">
        <v>12</v>
      </c>
    </row>
    <row r="511" spans="1:7" x14ac:dyDescent="0.15">
      <c r="A511" s="2" t="s">
        <v>1550</v>
      </c>
      <c r="B511" s="2" t="s">
        <v>1551</v>
      </c>
      <c r="C511" s="2" t="s">
        <v>1552</v>
      </c>
      <c r="D511" s="2" t="s">
        <v>10</v>
      </c>
      <c r="E511" s="2" t="s">
        <v>16</v>
      </c>
      <c r="F511" s="3" t="str">
        <f>HYPERLINK("http://ovidsp.ovid.com/ovidweb.cgi?T=JS&amp;NEWS=n&amp;CSC=Y&amp;PAGE=booktext&amp;D=books&amp;AN=01382591$&amp;XPATH=/PG(0)","http://ovidsp.ovid.com/ovidweb.cgi?T=JS&amp;NEWS=n&amp;CSC=Y&amp;PAGE=booktext&amp;D=books&amp;AN=01382591$&amp;XPATH=/PG(0)")</f>
        <v>http://ovidsp.ovid.com/ovidweb.cgi?T=JS&amp;NEWS=n&amp;CSC=Y&amp;PAGE=booktext&amp;D=books&amp;AN=01382591$&amp;XPATH=/PG(0)</v>
      </c>
      <c r="G511" s="2" t="s">
        <v>17</v>
      </c>
    </row>
    <row r="512" spans="1:7" x14ac:dyDescent="0.15">
      <c r="A512" s="2" t="s">
        <v>1553</v>
      </c>
      <c r="B512" s="2" t="s">
        <v>1554</v>
      </c>
      <c r="C512" s="2" t="s">
        <v>1555</v>
      </c>
      <c r="D512" s="2" t="s">
        <v>10</v>
      </c>
      <c r="E512" s="2" t="s">
        <v>49</v>
      </c>
      <c r="F512" s="3" t="str">
        <f>HYPERLINK("http://ovidsp.ovid.com/ovidweb.cgi?T=JS&amp;NEWS=n&amp;CSC=Y&amp;PAGE=booktext&amp;D=books&amp;AN=01279752$&amp;XPATH=/PG(0)","http://ovidsp.ovid.com/ovidweb.cgi?T=JS&amp;NEWS=n&amp;CSC=Y&amp;PAGE=booktext&amp;D=books&amp;AN=01279752$&amp;XPATH=/PG(0)")</f>
        <v>http://ovidsp.ovid.com/ovidweb.cgi?T=JS&amp;NEWS=n&amp;CSC=Y&amp;PAGE=booktext&amp;D=books&amp;AN=01279752$&amp;XPATH=/PG(0)</v>
      </c>
      <c r="G512" s="2" t="s">
        <v>17</v>
      </c>
    </row>
    <row r="513" spans="1:7" x14ac:dyDescent="0.15">
      <c r="A513" s="2" t="s">
        <v>1556</v>
      </c>
      <c r="B513" s="2" t="s">
        <v>1557</v>
      </c>
      <c r="C513" s="2" t="s">
        <v>1558</v>
      </c>
      <c r="D513" s="2" t="s">
        <v>10</v>
      </c>
      <c r="E513" s="2" t="s">
        <v>16</v>
      </c>
      <c r="F513" s="3" t="str">
        <f>HYPERLINK("http://ovidsp.ovid.com/ovidweb.cgi?T=JS&amp;NEWS=n&amp;CSC=Y&amp;PAGE=booktext&amp;D=books&amp;AN=01382595$&amp;XPATH=/PG(0)","http://ovidsp.ovid.com/ovidweb.cgi?T=JS&amp;NEWS=n&amp;CSC=Y&amp;PAGE=booktext&amp;D=books&amp;AN=01382595$&amp;XPATH=/PG(0)")</f>
        <v>http://ovidsp.ovid.com/ovidweb.cgi?T=JS&amp;NEWS=n&amp;CSC=Y&amp;PAGE=booktext&amp;D=books&amp;AN=01382595$&amp;XPATH=/PG(0)</v>
      </c>
      <c r="G513" s="2" t="s">
        <v>17</v>
      </c>
    </row>
    <row r="514" spans="1:7" x14ac:dyDescent="0.15">
      <c r="A514" s="2" t="s">
        <v>1559</v>
      </c>
      <c r="B514" s="2" t="s">
        <v>1560</v>
      </c>
      <c r="C514" s="2" t="s">
        <v>1561</v>
      </c>
      <c r="D514" s="2" t="s">
        <v>10</v>
      </c>
      <c r="E514" s="2" t="s">
        <v>16</v>
      </c>
      <c r="F514" s="3" t="str">
        <f>HYPERLINK("http://ovidsp.ovid.com/ovidweb.cgi?T=JS&amp;NEWS=n&amp;CSC=Y&amp;PAGE=booktext&amp;D=books&amp;AN=01382596$&amp;XPATH=/PG(0)","http://ovidsp.ovid.com/ovidweb.cgi?T=JS&amp;NEWS=n&amp;CSC=Y&amp;PAGE=booktext&amp;D=books&amp;AN=01382596$&amp;XPATH=/PG(0)")</f>
        <v>http://ovidsp.ovid.com/ovidweb.cgi?T=JS&amp;NEWS=n&amp;CSC=Y&amp;PAGE=booktext&amp;D=books&amp;AN=01382596$&amp;XPATH=/PG(0)</v>
      </c>
      <c r="G514" s="2" t="s">
        <v>17</v>
      </c>
    </row>
    <row r="515" spans="1:7" x14ac:dyDescent="0.15">
      <c r="A515" s="2" t="s">
        <v>1562</v>
      </c>
      <c r="B515" s="2" t="s">
        <v>1563</v>
      </c>
      <c r="C515" s="2" t="s">
        <v>1564</v>
      </c>
      <c r="D515" s="2" t="s">
        <v>10</v>
      </c>
      <c r="E515" s="2" t="s">
        <v>16</v>
      </c>
      <c r="F515" s="3" t="str">
        <f>HYPERLINK("http://ovidsp.ovid.com/ovidweb.cgi?T=JS&amp;NEWS=n&amp;CSC=Y&amp;PAGE=booktext&amp;D=books&amp;AN=01241478$&amp;XPATH=/PG(0)","http://ovidsp.ovid.com/ovidweb.cgi?T=JS&amp;NEWS=n&amp;CSC=Y&amp;PAGE=booktext&amp;D=books&amp;AN=01241478$&amp;XPATH=/PG(0)")</f>
        <v>http://ovidsp.ovid.com/ovidweb.cgi?T=JS&amp;NEWS=n&amp;CSC=Y&amp;PAGE=booktext&amp;D=books&amp;AN=01241478$&amp;XPATH=/PG(0)</v>
      </c>
      <c r="G515" s="2" t="s">
        <v>17</v>
      </c>
    </row>
    <row r="516" spans="1:7" x14ac:dyDescent="0.15">
      <c r="A516" s="2" t="s">
        <v>1565</v>
      </c>
      <c r="B516" s="2" t="s">
        <v>1566</v>
      </c>
      <c r="C516" s="2" t="s">
        <v>1567</v>
      </c>
      <c r="D516" s="2" t="s">
        <v>10</v>
      </c>
      <c r="E516" s="2" t="s">
        <v>95</v>
      </c>
      <c r="F516" s="3" t="str">
        <f>HYPERLINK("http://ovidsp.ovid.com/ovidweb.cgi?T=JS&amp;NEWS=n&amp;CSC=Y&amp;PAGE=booktext&amp;D=books&amp;AN=01382719$&amp;XPATH=/PG(0)","http://ovidsp.ovid.com/ovidweb.cgi?T=JS&amp;NEWS=n&amp;CSC=Y&amp;PAGE=booktext&amp;D=books&amp;AN=01382719$&amp;XPATH=/PG(0)")</f>
        <v>http://ovidsp.ovid.com/ovidweb.cgi?T=JS&amp;NEWS=n&amp;CSC=Y&amp;PAGE=booktext&amp;D=books&amp;AN=01382719$&amp;XPATH=/PG(0)</v>
      </c>
      <c r="G516" s="2" t="s">
        <v>12</v>
      </c>
    </row>
    <row r="517" spans="1:7" x14ac:dyDescent="0.15">
      <c r="A517" s="2" t="s">
        <v>1568</v>
      </c>
      <c r="B517" s="2" t="s">
        <v>1569</v>
      </c>
      <c r="C517" s="2" t="s">
        <v>1570</v>
      </c>
      <c r="D517" s="2" t="s">
        <v>10</v>
      </c>
      <c r="E517" s="2" t="s">
        <v>16</v>
      </c>
      <c r="F517" s="3" t="str">
        <f>HYPERLINK("http://ovidsp.ovid.com/ovidweb.cgi?T=JS&amp;NEWS=n&amp;CSC=Y&amp;PAGE=booktext&amp;D=books&amp;AN=01382771$&amp;XPATH=/PG(0)","http://ovidsp.ovid.com/ovidweb.cgi?T=JS&amp;NEWS=n&amp;CSC=Y&amp;PAGE=booktext&amp;D=books&amp;AN=01382771$&amp;XPATH=/PG(0)")</f>
        <v>http://ovidsp.ovid.com/ovidweb.cgi?T=JS&amp;NEWS=n&amp;CSC=Y&amp;PAGE=booktext&amp;D=books&amp;AN=01382771$&amp;XPATH=/PG(0)</v>
      </c>
      <c r="G517" s="2" t="s">
        <v>12</v>
      </c>
    </row>
    <row r="518" spans="1:7" x14ac:dyDescent="0.15">
      <c r="A518" s="2" t="s">
        <v>1571</v>
      </c>
      <c r="B518" s="2" t="s">
        <v>1572</v>
      </c>
      <c r="C518" s="2" t="s">
        <v>1573</v>
      </c>
      <c r="D518" s="2" t="s">
        <v>10</v>
      </c>
      <c r="E518" s="2" t="s">
        <v>95</v>
      </c>
      <c r="F518" s="3" t="str">
        <f>HYPERLINK("http://ovidsp.ovid.com/ovidweb.cgi?T=JS&amp;NEWS=n&amp;CSC=Y&amp;PAGE=booktext&amp;D=books&amp;AN=01382720$&amp;XPATH=/PG(0)","http://ovidsp.ovid.com/ovidweb.cgi?T=JS&amp;NEWS=n&amp;CSC=Y&amp;PAGE=booktext&amp;D=books&amp;AN=01382720$&amp;XPATH=/PG(0)")</f>
        <v>http://ovidsp.ovid.com/ovidweb.cgi?T=JS&amp;NEWS=n&amp;CSC=Y&amp;PAGE=booktext&amp;D=books&amp;AN=01382720$&amp;XPATH=/PG(0)</v>
      </c>
      <c r="G518" s="2" t="s">
        <v>12</v>
      </c>
    </row>
    <row r="519" spans="1:7" x14ac:dyDescent="0.15">
      <c r="A519" s="2" t="s">
        <v>1574</v>
      </c>
      <c r="B519" s="2" t="s">
        <v>1575</v>
      </c>
      <c r="C519" s="2" t="s">
        <v>1576</v>
      </c>
      <c r="D519" s="2" t="s">
        <v>10</v>
      </c>
      <c r="E519" s="2" t="s">
        <v>49</v>
      </c>
      <c r="F519" s="3" t="str">
        <f>HYPERLINK("http://ovidsp.ovid.com/ovidweb.cgi?T=JS&amp;NEWS=n&amp;CSC=Y&amp;PAGE=booktext&amp;D=books&amp;AN=01382889$&amp;XPATH=/PG(0)","http://ovidsp.ovid.com/ovidweb.cgi?T=JS&amp;NEWS=n&amp;CSC=Y&amp;PAGE=booktext&amp;D=books&amp;AN=01382889$&amp;XPATH=/PG(0)")</f>
        <v>http://ovidsp.ovid.com/ovidweb.cgi?T=JS&amp;NEWS=n&amp;CSC=Y&amp;PAGE=booktext&amp;D=books&amp;AN=01382889$&amp;XPATH=/PG(0)</v>
      </c>
      <c r="G519" s="2" t="s">
        <v>12</v>
      </c>
    </row>
    <row r="520" spans="1:7" x14ac:dyDescent="0.15">
      <c r="A520" s="2" t="s">
        <v>1577</v>
      </c>
      <c r="B520" s="2" t="s">
        <v>1578</v>
      </c>
      <c r="C520" s="2" t="s">
        <v>1579</v>
      </c>
      <c r="D520" s="2" t="s">
        <v>10</v>
      </c>
      <c r="E520" s="2" t="s">
        <v>49</v>
      </c>
      <c r="F520" s="3" t="str">
        <f>HYPERLINK("http://ovidsp.ovid.com/ovidweb.cgi?T=JS&amp;NEWS=n&amp;CSC=Y&amp;PAGE=booktext&amp;D=books&amp;AN=01382877$&amp;XPATH=/PG(0)","http://ovidsp.ovid.com/ovidweb.cgi?T=JS&amp;NEWS=n&amp;CSC=Y&amp;PAGE=booktext&amp;D=books&amp;AN=01382877$&amp;XPATH=/PG(0)")</f>
        <v>http://ovidsp.ovid.com/ovidweb.cgi?T=JS&amp;NEWS=n&amp;CSC=Y&amp;PAGE=booktext&amp;D=books&amp;AN=01382877$&amp;XPATH=/PG(0)</v>
      </c>
      <c r="G520" s="2" t="s">
        <v>12</v>
      </c>
    </row>
    <row r="521" spans="1:7" x14ac:dyDescent="0.15">
      <c r="A521" s="2" t="s">
        <v>1580</v>
      </c>
      <c r="B521" s="2" t="s">
        <v>1581</v>
      </c>
      <c r="C521" s="2" t="s">
        <v>1582</v>
      </c>
      <c r="D521" s="2" t="s">
        <v>10</v>
      </c>
      <c r="E521" s="2" t="s">
        <v>45</v>
      </c>
      <c r="F521" s="3" t="str">
        <f>HYPERLINK("http://ovidsp.ovid.com/ovidweb.cgi?T=JS&amp;NEWS=n&amp;CSC=Y&amp;PAGE=booktext&amp;D=books&amp;AN=01376501$&amp;XPATH=/PG(0)","http://ovidsp.ovid.com/ovidweb.cgi?T=JS&amp;NEWS=n&amp;CSC=Y&amp;PAGE=booktext&amp;D=books&amp;AN=01376501$&amp;XPATH=/PG(0)")</f>
        <v>http://ovidsp.ovid.com/ovidweb.cgi?T=JS&amp;NEWS=n&amp;CSC=Y&amp;PAGE=booktext&amp;D=books&amp;AN=01376501$&amp;XPATH=/PG(0)</v>
      </c>
      <c r="G521" s="2" t="s">
        <v>12</v>
      </c>
    </row>
    <row r="522" spans="1:7" x14ac:dyDescent="0.15">
      <c r="A522" s="2" t="s">
        <v>1583</v>
      </c>
      <c r="B522" s="2" t="s">
        <v>1584</v>
      </c>
      <c r="C522" s="2" t="s">
        <v>1585</v>
      </c>
      <c r="D522" s="2" t="s">
        <v>10</v>
      </c>
      <c r="E522" s="2" t="s">
        <v>16</v>
      </c>
      <c r="F522" s="3" t="str">
        <f>HYPERLINK("http://ovidsp.ovid.com/ovidweb.cgi?T=JS&amp;NEWS=n&amp;CSC=Y&amp;PAGE=booktext&amp;D=books&amp;AN=01382499$&amp;XPATH=/PG(0)","http://ovidsp.ovid.com/ovidweb.cgi?T=JS&amp;NEWS=n&amp;CSC=Y&amp;PAGE=booktext&amp;D=books&amp;AN=01382499$&amp;XPATH=/PG(0)")</f>
        <v>http://ovidsp.ovid.com/ovidweb.cgi?T=JS&amp;NEWS=n&amp;CSC=Y&amp;PAGE=booktext&amp;D=books&amp;AN=01382499$&amp;XPATH=/PG(0)</v>
      </c>
      <c r="G522" s="2" t="s">
        <v>12</v>
      </c>
    </row>
    <row r="523" spans="1:7" x14ac:dyDescent="0.15">
      <c r="A523" s="2" t="s">
        <v>1586</v>
      </c>
      <c r="B523" s="2" t="s">
        <v>1587</v>
      </c>
      <c r="C523" s="2" t="s">
        <v>1588</v>
      </c>
      <c r="D523" s="2" t="s">
        <v>10</v>
      </c>
      <c r="E523" s="2" t="s">
        <v>49</v>
      </c>
      <c r="F523" s="3" t="str">
        <f>HYPERLINK("http://ovidsp.ovid.com/ovidweb.cgi?T=JS&amp;NEWS=n&amp;CSC=Y&amp;PAGE=booktext&amp;D=books&amp;AN=01382858$&amp;XPATH=/PG(0)","http://ovidsp.ovid.com/ovidweb.cgi?T=JS&amp;NEWS=n&amp;CSC=Y&amp;PAGE=booktext&amp;D=books&amp;AN=01382858$&amp;XPATH=/PG(0)")</f>
        <v>http://ovidsp.ovid.com/ovidweb.cgi?T=JS&amp;NEWS=n&amp;CSC=Y&amp;PAGE=booktext&amp;D=books&amp;AN=01382858$&amp;XPATH=/PG(0)</v>
      </c>
      <c r="G523" s="2" t="s">
        <v>12</v>
      </c>
    </row>
    <row r="524" spans="1:7" x14ac:dyDescent="0.15">
      <c r="A524" s="2" t="s">
        <v>1589</v>
      </c>
      <c r="B524" s="2" t="s">
        <v>1590</v>
      </c>
      <c r="C524" s="2" t="s">
        <v>1591</v>
      </c>
      <c r="D524" s="2" t="s">
        <v>10</v>
      </c>
      <c r="E524" s="2" t="s">
        <v>1484</v>
      </c>
      <c r="F524" s="3" t="str">
        <f>HYPERLINK("http://ovidsp.ovid.com/ovidweb.cgi?T=JS&amp;NEWS=n&amp;CSC=Y&amp;PAGE=booktext&amp;D=books&amp;AN=00140037$&amp;XPATH=/PG(0)","http://ovidsp.ovid.com/ovidweb.cgi?T=JS&amp;NEWS=n&amp;CSC=Y&amp;PAGE=booktext&amp;D=books&amp;AN=00140037$&amp;XPATH=/PG(0)")</f>
        <v>http://ovidsp.ovid.com/ovidweb.cgi?T=JS&amp;NEWS=n&amp;CSC=Y&amp;PAGE=booktext&amp;D=books&amp;AN=00140037$&amp;XPATH=/PG(0)</v>
      </c>
      <c r="G524" s="2" t="s">
        <v>17</v>
      </c>
    </row>
    <row r="525" spans="1:7" x14ac:dyDescent="0.15">
      <c r="A525" s="2" t="s">
        <v>1592</v>
      </c>
      <c r="B525" s="2" t="s">
        <v>1593</v>
      </c>
      <c r="C525" s="2" t="s">
        <v>1594</v>
      </c>
      <c r="D525" s="2" t="s">
        <v>10</v>
      </c>
      <c r="E525" s="2" t="s">
        <v>45</v>
      </c>
      <c r="F525" s="3" t="str">
        <f>HYPERLINK("http://ovidsp.ovid.com/ovidweb.cgi?T=JS&amp;NEWS=n&amp;CSC=Y&amp;PAGE=booktext&amp;D=books&amp;AN=01257026$&amp;XPATH=/PG(0)","http://ovidsp.ovid.com/ovidweb.cgi?T=JS&amp;NEWS=n&amp;CSC=Y&amp;PAGE=booktext&amp;D=books&amp;AN=01257026$&amp;XPATH=/PG(0)")</f>
        <v>http://ovidsp.ovid.com/ovidweb.cgi?T=JS&amp;NEWS=n&amp;CSC=Y&amp;PAGE=booktext&amp;D=books&amp;AN=01257026$&amp;XPATH=/PG(0)</v>
      </c>
      <c r="G525" s="2" t="s">
        <v>17</v>
      </c>
    </row>
    <row r="526" spans="1:7" x14ac:dyDescent="0.15">
      <c r="A526" s="2" t="s">
        <v>1595</v>
      </c>
      <c r="B526" s="2" t="s">
        <v>1596</v>
      </c>
      <c r="C526" s="2" t="s">
        <v>1597</v>
      </c>
      <c r="D526" s="2" t="s">
        <v>10</v>
      </c>
      <c r="E526" s="2" t="s">
        <v>16</v>
      </c>
      <c r="F526" s="3" t="str">
        <f>HYPERLINK("http://ovidsp.ovid.com/ovidweb.cgi?T=JS&amp;NEWS=n&amp;CSC=Y&amp;PAGE=booktext&amp;D=books&amp;AN=01382486$&amp;XPATH=/PG(0)","http://ovidsp.ovid.com/ovidweb.cgi?T=JS&amp;NEWS=n&amp;CSC=Y&amp;PAGE=booktext&amp;D=books&amp;AN=01382486$&amp;XPATH=/PG(0)")</f>
        <v>http://ovidsp.ovid.com/ovidweb.cgi?T=JS&amp;NEWS=n&amp;CSC=Y&amp;PAGE=booktext&amp;D=books&amp;AN=01382486$&amp;XPATH=/PG(0)</v>
      </c>
      <c r="G526" s="2" t="s">
        <v>17</v>
      </c>
    </row>
    <row r="527" spans="1:7" x14ac:dyDescent="0.15">
      <c r="A527" s="2" t="s">
        <v>1598</v>
      </c>
      <c r="B527" s="2" t="s">
        <v>1599</v>
      </c>
      <c r="C527" s="2" t="s">
        <v>1600</v>
      </c>
      <c r="D527" s="2" t="s">
        <v>10</v>
      </c>
      <c r="E527" s="2" t="s">
        <v>95</v>
      </c>
      <c r="F527" s="3" t="str">
        <f>HYPERLINK("http://ovidsp.ovid.com/ovidweb.cgi?T=JS&amp;NEWS=n&amp;CSC=Y&amp;PAGE=booktext&amp;D=books&amp;AN=01337562$&amp;XPATH=/PG(0)","http://ovidsp.ovid.com/ovidweb.cgi?T=JS&amp;NEWS=n&amp;CSC=Y&amp;PAGE=booktext&amp;D=books&amp;AN=01337562$&amp;XPATH=/PG(0)")</f>
        <v>http://ovidsp.ovid.com/ovidweb.cgi?T=JS&amp;NEWS=n&amp;CSC=Y&amp;PAGE=booktext&amp;D=books&amp;AN=01337562$&amp;XPATH=/PG(0)</v>
      </c>
      <c r="G527" s="2" t="s">
        <v>17</v>
      </c>
    </row>
    <row r="528" spans="1:7" x14ac:dyDescent="0.15">
      <c r="A528" s="2" t="s">
        <v>1601</v>
      </c>
      <c r="B528" s="2" t="s">
        <v>1602</v>
      </c>
      <c r="C528" s="2" t="s">
        <v>1603</v>
      </c>
      <c r="D528" s="2" t="s">
        <v>10</v>
      </c>
      <c r="E528" s="2" t="s">
        <v>606</v>
      </c>
      <c r="F528" s="3" t="str">
        <f>HYPERLINK("http://ovidsp.ovid.com/ovidweb.cgi?T=JS&amp;NEWS=n&amp;CSC=Y&amp;PAGE=booktext&amp;D=books&amp;AN=00140038$&amp;XPATH=/PG(0)","http://ovidsp.ovid.com/ovidweb.cgi?T=JS&amp;NEWS=n&amp;CSC=Y&amp;PAGE=booktext&amp;D=books&amp;AN=00140038$&amp;XPATH=/PG(0)")</f>
        <v>http://ovidsp.ovid.com/ovidweb.cgi?T=JS&amp;NEWS=n&amp;CSC=Y&amp;PAGE=booktext&amp;D=books&amp;AN=00140038$&amp;XPATH=/PG(0)</v>
      </c>
      <c r="G528" s="2" t="s">
        <v>17</v>
      </c>
    </row>
    <row r="529" spans="1:7" x14ac:dyDescent="0.15">
      <c r="A529" s="2" t="s">
        <v>1604</v>
      </c>
      <c r="B529" s="2" t="s">
        <v>1605</v>
      </c>
      <c r="C529" s="2" t="s">
        <v>1606</v>
      </c>
      <c r="D529" s="2" t="s">
        <v>10</v>
      </c>
      <c r="E529" s="2" t="s">
        <v>49</v>
      </c>
      <c r="F529" s="3" t="str">
        <f>HYPERLINK("http://ovidsp.ovid.com/ovidweb.cgi?T=JS&amp;NEWS=n&amp;CSC=Y&amp;PAGE=booktext&amp;D=books&amp;AN=01256971$&amp;XPATH=/PG(0)","http://ovidsp.ovid.com/ovidweb.cgi?T=JS&amp;NEWS=n&amp;CSC=Y&amp;PAGE=booktext&amp;D=books&amp;AN=01256971$&amp;XPATH=/PG(0)")</f>
        <v>http://ovidsp.ovid.com/ovidweb.cgi?T=JS&amp;NEWS=n&amp;CSC=Y&amp;PAGE=booktext&amp;D=books&amp;AN=01256971$&amp;XPATH=/PG(0)</v>
      </c>
      <c r="G529" s="2" t="s">
        <v>17</v>
      </c>
    </row>
    <row r="530" spans="1:7" x14ac:dyDescent="0.15">
      <c r="A530" s="2" t="s">
        <v>1607</v>
      </c>
      <c r="B530" s="2" t="s">
        <v>1608</v>
      </c>
      <c r="C530" s="2" t="s">
        <v>1609</v>
      </c>
      <c r="D530" s="2" t="s">
        <v>10</v>
      </c>
      <c r="E530" s="2" t="s">
        <v>45</v>
      </c>
      <c r="F530" s="3" t="str">
        <f>HYPERLINK("http://ovidsp.ovid.com/ovidweb.cgi?T=JS&amp;NEWS=n&amp;CSC=Y&amp;PAGE=booktext&amp;D=books&amp;AN=01257027$&amp;XPATH=/PG(0)","http://ovidsp.ovid.com/ovidweb.cgi?T=JS&amp;NEWS=n&amp;CSC=Y&amp;PAGE=booktext&amp;D=books&amp;AN=01257027$&amp;XPATH=/PG(0)")</f>
        <v>http://ovidsp.ovid.com/ovidweb.cgi?T=JS&amp;NEWS=n&amp;CSC=Y&amp;PAGE=booktext&amp;D=books&amp;AN=01257027$&amp;XPATH=/PG(0)</v>
      </c>
      <c r="G530" s="2" t="s">
        <v>17</v>
      </c>
    </row>
    <row r="531" spans="1:7" x14ac:dyDescent="0.15">
      <c r="A531" s="2" t="s">
        <v>1610</v>
      </c>
      <c r="B531" s="2" t="s">
        <v>1611</v>
      </c>
      <c r="C531" s="2" t="s">
        <v>1612</v>
      </c>
      <c r="D531" s="2" t="s">
        <v>10</v>
      </c>
      <c r="E531" s="2" t="s">
        <v>16</v>
      </c>
      <c r="F531" s="3" t="str">
        <f>HYPERLINK("http://ovidsp.ovid.com/ovidweb.cgi?T=JS&amp;NEWS=n&amp;CSC=Y&amp;PAGE=booktext&amp;D=books&amp;AN=01382601$&amp;XPATH=/PG(0)","http://ovidsp.ovid.com/ovidweb.cgi?T=JS&amp;NEWS=n&amp;CSC=Y&amp;PAGE=booktext&amp;D=books&amp;AN=01382601$&amp;XPATH=/PG(0)")</f>
        <v>http://ovidsp.ovid.com/ovidweb.cgi?T=JS&amp;NEWS=n&amp;CSC=Y&amp;PAGE=booktext&amp;D=books&amp;AN=01382601$&amp;XPATH=/PG(0)</v>
      </c>
      <c r="G531" s="2" t="s">
        <v>17</v>
      </c>
    </row>
    <row r="532" spans="1:7" x14ac:dyDescent="0.15">
      <c r="A532" s="2" t="s">
        <v>1613</v>
      </c>
      <c r="B532" s="2" t="s">
        <v>1614</v>
      </c>
      <c r="C532" s="2" t="s">
        <v>1615</v>
      </c>
      <c r="D532" s="2" t="s">
        <v>10</v>
      </c>
      <c r="E532" s="2" t="s">
        <v>45</v>
      </c>
      <c r="F532" s="3" t="str">
        <f>HYPERLINK("http://ovidsp.ovid.com/ovidweb.cgi?T=JS&amp;NEWS=n&amp;CSC=Y&amp;PAGE=booktext&amp;D=books&amp;AN=01382602$&amp;XPATH=/PG(0)","http://ovidsp.ovid.com/ovidweb.cgi?T=JS&amp;NEWS=n&amp;CSC=Y&amp;PAGE=booktext&amp;D=books&amp;AN=01382602$&amp;XPATH=/PG(0)")</f>
        <v>http://ovidsp.ovid.com/ovidweb.cgi?T=JS&amp;NEWS=n&amp;CSC=Y&amp;PAGE=booktext&amp;D=books&amp;AN=01382602$&amp;XPATH=/PG(0)</v>
      </c>
      <c r="G532" s="2" t="s">
        <v>17</v>
      </c>
    </row>
    <row r="533" spans="1:7" x14ac:dyDescent="0.15">
      <c r="A533" s="2" t="s">
        <v>1616</v>
      </c>
      <c r="B533" s="2" t="s">
        <v>1617</v>
      </c>
      <c r="C533" s="2" t="s">
        <v>1618</v>
      </c>
      <c r="D533" s="2" t="s">
        <v>10</v>
      </c>
      <c r="E533" s="2" t="s">
        <v>235</v>
      </c>
      <c r="F533" s="3" t="str">
        <f>HYPERLINK("http://ovidsp.ovid.com/ovidweb.cgi?T=JS&amp;NEWS=n&amp;CSC=Y&amp;PAGE=booktext&amp;D=books&amp;AN=00139964$&amp;XPATH=/PG(0)","http://ovidsp.ovid.com/ovidweb.cgi?T=JS&amp;NEWS=n&amp;CSC=Y&amp;PAGE=booktext&amp;D=books&amp;AN=00139964$&amp;XPATH=/PG(0)")</f>
        <v>http://ovidsp.ovid.com/ovidweb.cgi?T=JS&amp;NEWS=n&amp;CSC=Y&amp;PAGE=booktext&amp;D=books&amp;AN=00139964$&amp;XPATH=/PG(0)</v>
      </c>
      <c r="G533" s="2" t="s">
        <v>12</v>
      </c>
    </row>
    <row r="534" spans="1:7" x14ac:dyDescent="0.15">
      <c r="A534" s="2" t="s">
        <v>1619</v>
      </c>
      <c r="B534" s="2" t="s">
        <v>1620</v>
      </c>
      <c r="C534" s="2" t="s">
        <v>1621</v>
      </c>
      <c r="D534" s="2" t="s">
        <v>10</v>
      </c>
      <c r="E534" s="2" t="s">
        <v>251</v>
      </c>
      <c r="F534" s="3" t="str">
        <f>HYPERLINK("http://ovidsp.ovid.com/ovidweb.cgi?T=JS&amp;NEWS=n&amp;CSC=Y&amp;PAGE=booktext&amp;D=books&amp;AN=01273129$&amp;XPATH=/PG(0)","http://ovidsp.ovid.com/ovidweb.cgi?T=JS&amp;NEWS=n&amp;CSC=Y&amp;PAGE=booktext&amp;D=books&amp;AN=01273129$&amp;XPATH=/PG(0)")</f>
        <v>http://ovidsp.ovid.com/ovidweb.cgi?T=JS&amp;NEWS=n&amp;CSC=Y&amp;PAGE=booktext&amp;D=books&amp;AN=01273129$&amp;XPATH=/PG(0)</v>
      </c>
      <c r="G534" s="2" t="s">
        <v>17</v>
      </c>
    </row>
    <row r="535" spans="1:7" x14ac:dyDescent="0.15">
      <c r="A535" s="2" t="s">
        <v>1622</v>
      </c>
      <c r="B535" s="2" t="s">
        <v>1623</v>
      </c>
      <c r="C535" s="2" t="s">
        <v>1624</v>
      </c>
      <c r="D535" s="2" t="s">
        <v>10</v>
      </c>
      <c r="E535" s="2" t="s">
        <v>45</v>
      </c>
      <c r="F535" s="3" t="str">
        <f>HYPERLINK("http://ovidsp.ovid.com/ovidweb.cgi?T=JS&amp;NEWS=n&amp;CSC=Y&amp;PAGE=booktext&amp;D=books&amp;AN=01382605$&amp;XPATH=/PG(0)","http://ovidsp.ovid.com/ovidweb.cgi?T=JS&amp;NEWS=n&amp;CSC=Y&amp;PAGE=booktext&amp;D=books&amp;AN=01382605$&amp;XPATH=/PG(0)")</f>
        <v>http://ovidsp.ovid.com/ovidweb.cgi?T=JS&amp;NEWS=n&amp;CSC=Y&amp;PAGE=booktext&amp;D=books&amp;AN=01382605$&amp;XPATH=/PG(0)</v>
      </c>
      <c r="G535" s="2" t="s">
        <v>17</v>
      </c>
    </row>
    <row r="536" spans="1:7" x14ac:dyDescent="0.15">
      <c r="A536" s="2" t="s">
        <v>1625</v>
      </c>
      <c r="B536" s="2" t="s">
        <v>1626</v>
      </c>
      <c r="C536" s="2" t="s">
        <v>1627</v>
      </c>
      <c r="D536" s="2" t="s">
        <v>10</v>
      </c>
      <c r="E536" s="2" t="s">
        <v>53</v>
      </c>
      <c r="F536" s="3" t="str">
        <f>HYPERLINK("http://ovidsp.ovid.com/ovidweb.cgi?T=JS&amp;NEWS=n&amp;CSC=Y&amp;PAGE=booktext&amp;D=books&amp;AN=01382487$&amp;XPATH=/PG(0)","http://ovidsp.ovid.com/ovidweb.cgi?T=JS&amp;NEWS=n&amp;CSC=Y&amp;PAGE=booktext&amp;D=books&amp;AN=01382487$&amp;XPATH=/PG(0)")</f>
        <v>http://ovidsp.ovid.com/ovidweb.cgi?T=JS&amp;NEWS=n&amp;CSC=Y&amp;PAGE=booktext&amp;D=books&amp;AN=01382487$&amp;XPATH=/PG(0)</v>
      </c>
      <c r="G536" s="2" t="s">
        <v>17</v>
      </c>
    </row>
    <row r="537" spans="1:7" x14ac:dyDescent="0.15">
      <c r="A537" s="2" t="s">
        <v>1628</v>
      </c>
      <c r="B537" s="2" t="s">
        <v>1629</v>
      </c>
      <c r="C537" s="2" t="s">
        <v>1630</v>
      </c>
      <c r="D537" s="2" t="s">
        <v>10</v>
      </c>
      <c r="E537" s="2" t="s">
        <v>45</v>
      </c>
      <c r="F537" s="3" t="str">
        <f>HYPERLINK("http://ovidsp.ovid.com/ovidweb.cgi?T=JS&amp;NEWS=n&amp;CSC=Y&amp;PAGE=booktext&amp;D=books&amp;AN=01382606$&amp;XPATH=/PG(0)","http://ovidsp.ovid.com/ovidweb.cgi?T=JS&amp;NEWS=n&amp;CSC=Y&amp;PAGE=booktext&amp;D=books&amp;AN=01382606$&amp;XPATH=/PG(0)")</f>
        <v>http://ovidsp.ovid.com/ovidweb.cgi?T=JS&amp;NEWS=n&amp;CSC=Y&amp;PAGE=booktext&amp;D=books&amp;AN=01382606$&amp;XPATH=/PG(0)</v>
      </c>
      <c r="G537" s="2" t="s">
        <v>17</v>
      </c>
    </row>
    <row r="538" spans="1:7" x14ac:dyDescent="0.15">
      <c r="A538" s="2" t="s">
        <v>1631</v>
      </c>
      <c r="B538" s="2" t="s">
        <v>1632</v>
      </c>
      <c r="C538" s="2" t="s">
        <v>1633</v>
      </c>
      <c r="D538" s="2" t="s">
        <v>10</v>
      </c>
      <c r="E538" s="2" t="s">
        <v>45</v>
      </c>
      <c r="F538" s="3" t="str">
        <f>HYPERLINK("http://ovidsp.ovid.com/ovidweb.cgi?T=JS&amp;NEWS=n&amp;CSC=Y&amp;PAGE=booktext&amp;D=books&amp;AN=01382604$&amp;XPATH=/PG(0)","http://ovidsp.ovid.com/ovidweb.cgi?T=JS&amp;NEWS=n&amp;CSC=Y&amp;PAGE=booktext&amp;D=books&amp;AN=01382604$&amp;XPATH=/PG(0)")</f>
        <v>http://ovidsp.ovid.com/ovidweb.cgi?T=JS&amp;NEWS=n&amp;CSC=Y&amp;PAGE=booktext&amp;D=books&amp;AN=01382604$&amp;XPATH=/PG(0)</v>
      </c>
      <c r="G538" s="2" t="s">
        <v>17</v>
      </c>
    </row>
    <row r="539" spans="1:7" x14ac:dyDescent="0.15">
      <c r="A539" s="2" t="s">
        <v>1634</v>
      </c>
      <c r="B539" s="2" t="s">
        <v>1635</v>
      </c>
      <c r="C539" s="2" t="s">
        <v>1636</v>
      </c>
      <c r="D539" s="2" t="s">
        <v>10</v>
      </c>
      <c r="E539" s="2" t="s">
        <v>16</v>
      </c>
      <c r="F539" s="3" t="str">
        <f>HYPERLINK("http://ovidsp.ovid.com/ovidweb.cgi?T=JS&amp;NEWS=n&amp;CSC=Y&amp;PAGE=booktext&amp;D=books&amp;AN=01382615$&amp;XPATH=/PG(0)","http://ovidsp.ovid.com/ovidweb.cgi?T=JS&amp;NEWS=n&amp;CSC=Y&amp;PAGE=booktext&amp;D=books&amp;AN=01382615$&amp;XPATH=/PG(0)")</f>
        <v>http://ovidsp.ovid.com/ovidweb.cgi?T=JS&amp;NEWS=n&amp;CSC=Y&amp;PAGE=booktext&amp;D=books&amp;AN=01382615$&amp;XPATH=/PG(0)</v>
      </c>
      <c r="G539" s="2" t="s">
        <v>17</v>
      </c>
    </row>
    <row r="540" spans="1:7" x14ac:dyDescent="0.15">
      <c r="A540" s="2" t="s">
        <v>1637</v>
      </c>
      <c r="B540" s="2" t="s">
        <v>1638</v>
      </c>
      <c r="C540" s="2" t="s">
        <v>1639</v>
      </c>
      <c r="D540" s="2" t="s">
        <v>10</v>
      </c>
      <c r="E540" s="2" t="s">
        <v>16</v>
      </c>
      <c r="F540" s="3" t="str">
        <f>HYPERLINK("http://ovidsp.ovid.com/ovidweb.cgi?T=JS&amp;NEWS=n&amp;CSC=Y&amp;PAGE=booktext&amp;D=books&amp;AN=01382616$&amp;XPATH=/PG(0)","http://ovidsp.ovid.com/ovidweb.cgi?T=JS&amp;NEWS=n&amp;CSC=Y&amp;PAGE=booktext&amp;D=books&amp;AN=01382616$&amp;XPATH=/PG(0)")</f>
        <v>http://ovidsp.ovid.com/ovidweb.cgi?T=JS&amp;NEWS=n&amp;CSC=Y&amp;PAGE=booktext&amp;D=books&amp;AN=01382616$&amp;XPATH=/PG(0)</v>
      </c>
      <c r="G540" s="2" t="s">
        <v>17</v>
      </c>
    </row>
    <row r="541" spans="1:7" x14ac:dyDescent="0.15">
      <c r="A541" s="2" t="s">
        <v>1640</v>
      </c>
      <c r="B541" s="2" t="s">
        <v>1641</v>
      </c>
      <c r="C541" s="2" t="s">
        <v>1642</v>
      </c>
      <c r="D541" s="2" t="s">
        <v>10</v>
      </c>
      <c r="E541" s="2" t="s">
        <v>45</v>
      </c>
      <c r="F541" s="3" t="str">
        <f>HYPERLINK("http://ovidsp.ovid.com/ovidweb.cgi?T=JS&amp;NEWS=n&amp;CSC=Y&amp;PAGE=booktext&amp;D=books&amp;AN=01279753$&amp;XPATH=/PG(0)","http://ovidsp.ovid.com/ovidweb.cgi?T=JS&amp;NEWS=n&amp;CSC=Y&amp;PAGE=booktext&amp;D=books&amp;AN=01279753$&amp;XPATH=/PG(0)")</f>
        <v>http://ovidsp.ovid.com/ovidweb.cgi?T=JS&amp;NEWS=n&amp;CSC=Y&amp;PAGE=booktext&amp;D=books&amp;AN=01279753$&amp;XPATH=/PG(0)</v>
      </c>
      <c r="G541" s="2" t="s">
        <v>17</v>
      </c>
    </row>
    <row r="542" spans="1:7" x14ac:dyDescent="0.15">
      <c r="A542" s="2" t="s">
        <v>1643</v>
      </c>
      <c r="B542" s="2" t="s">
        <v>1644</v>
      </c>
      <c r="C542" s="2" t="s">
        <v>1645</v>
      </c>
      <c r="D542" s="2" t="s">
        <v>10</v>
      </c>
      <c r="E542" s="2" t="s">
        <v>45</v>
      </c>
      <c r="F542" s="3" t="str">
        <f>HYPERLINK("http://ovidsp.ovid.com/ovidweb.cgi?T=JS&amp;NEWS=n&amp;CSC=Y&amp;PAGE=booktext&amp;D=books&amp;AN=01382617$&amp;XPATH=/PG(0)","http://ovidsp.ovid.com/ovidweb.cgi?T=JS&amp;NEWS=n&amp;CSC=Y&amp;PAGE=booktext&amp;D=books&amp;AN=01382617$&amp;XPATH=/PG(0)")</f>
        <v>http://ovidsp.ovid.com/ovidweb.cgi?T=JS&amp;NEWS=n&amp;CSC=Y&amp;PAGE=booktext&amp;D=books&amp;AN=01382617$&amp;XPATH=/PG(0)</v>
      </c>
      <c r="G542" s="2" t="s">
        <v>17</v>
      </c>
    </row>
    <row r="543" spans="1:7" x14ac:dyDescent="0.15">
      <c r="A543" s="2" t="s">
        <v>1646</v>
      </c>
      <c r="B543" s="2" t="s">
        <v>1647</v>
      </c>
      <c r="C543" s="2" t="s">
        <v>1648</v>
      </c>
      <c r="D543" s="2" t="s">
        <v>10</v>
      </c>
      <c r="E543" s="2" t="s">
        <v>16</v>
      </c>
      <c r="F543" s="3" t="str">
        <f>HYPERLINK("http://ovidsp.ovid.com/ovidweb.cgi?T=JS&amp;NEWS=n&amp;CSC=Y&amp;PAGE=booktext&amp;D=books&amp;AN=01382619$&amp;XPATH=/PG(0)","http://ovidsp.ovid.com/ovidweb.cgi?T=JS&amp;NEWS=n&amp;CSC=Y&amp;PAGE=booktext&amp;D=books&amp;AN=01382619$&amp;XPATH=/PG(0)")</f>
        <v>http://ovidsp.ovid.com/ovidweb.cgi?T=JS&amp;NEWS=n&amp;CSC=Y&amp;PAGE=booktext&amp;D=books&amp;AN=01382619$&amp;XPATH=/PG(0)</v>
      </c>
      <c r="G543" s="2" t="s">
        <v>12</v>
      </c>
    </row>
    <row r="544" spans="1:7" x14ac:dyDescent="0.15">
      <c r="A544" s="2" t="s">
        <v>1649</v>
      </c>
      <c r="B544" s="2" t="s">
        <v>1650</v>
      </c>
      <c r="C544" s="2" t="s">
        <v>1651</v>
      </c>
      <c r="D544" s="2" t="s">
        <v>10</v>
      </c>
      <c r="E544" s="2" t="s">
        <v>95</v>
      </c>
      <c r="F544" s="3" t="str">
        <f>HYPERLINK("http://ovidsp.ovid.com/ovidweb.cgi?T=JS&amp;NEWS=n&amp;CSC=Y&amp;PAGE=booktext&amp;D=books&amp;AN=01382620$&amp;XPATH=/PG(0)","http://ovidsp.ovid.com/ovidweb.cgi?T=JS&amp;NEWS=n&amp;CSC=Y&amp;PAGE=booktext&amp;D=books&amp;AN=01382620$&amp;XPATH=/PG(0)")</f>
        <v>http://ovidsp.ovid.com/ovidweb.cgi?T=JS&amp;NEWS=n&amp;CSC=Y&amp;PAGE=booktext&amp;D=books&amp;AN=01382620$&amp;XPATH=/PG(0)</v>
      </c>
      <c r="G544" s="2" t="s">
        <v>17</v>
      </c>
    </row>
    <row r="545" spans="1:7" x14ac:dyDescent="0.15">
      <c r="A545" s="2" t="s">
        <v>1652</v>
      </c>
      <c r="B545" s="2" t="s">
        <v>1653</v>
      </c>
      <c r="C545" s="2" t="s">
        <v>1654</v>
      </c>
      <c r="D545" s="2" t="s">
        <v>10</v>
      </c>
      <c r="E545" s="2" t="s">
        <v>49</v>
      </c>
      <c r="F545" s="3" t="str">
        <f>HYPERLINK("http://ovidsp.ovid.com/ovidweb.cgi?T=JS&amp;NEWS=n&amp;CSC=Y&amp;PAGE=booktext&amp;D=books&amp;AN=01382622$&amp;XPATH=/PG(0)","http://ovidsp.ovid.com/ovidweb.cgi?T=JS&amp;NEWS=n&amp;CSC=Y&amp;PAGE=booktext&amp;D=books&amp;AN=01382622$&amp;XPATH=/PG(0)")</f>
        <v>http://ovidsp.ovid.com/ovidweb.cgi?T=JS&amp;NEWS=n&amp;CSC=Y&amp;PAGE=booktext&amp;D=books&amp;AN=01382622$&amp;XPATH=/PG(0)</v>
      </c>
      <c r="G545" s="2" t="s">
        <v>17</v>
      </c>
    </row>
    <row r="546" spans="1:7" x14ac:dyDescent="0.15">
      <c r="A546" s="2" t="s">
        <v>1655</v>
      </c>
      <c r="B546" s="2" t="s">
        <v>1656</v>
      </c>
      <c r="C546" s="2" t="s">
        <v>1657</v>
      </c>
      <c r="D546" s="2" t="s">
        <v>10</v>
      </c>
      <c r="E546" s="2" t="s">
        <v>251</v>
      </c>
      <c r="F546" s="3" t="str">
        <f>HYPERLINK("http://ovidsp.ovid.com/ovidweb.cgi?T=JS&amp;NEWS=n&amp;CSC=Y&amp;PAGE=booktext&amp;D=books&amp;AN=01382623$&amp;XPATH=/PG(0)","http://ovidsp.ovid.com/ovidweb.cgi?T=JS&amp;NEWS=n&amp;CSC=Y&amp;PAGE=booktext&amp;D=books&amp;AN=01382623$&amp;XPATH=/PG(0)")</f>
        <v>http://ovidsp.ovid.com/ovidweb.cgi?T=JS&amp;NEWS=n&amp;CSC=Y&amp;PAGE=booktext&amp;D=books&amp;AN=01382623$&amp;XPATH=/PG(0)</v>
      </c>
      <c r="G546" s="2" t="s">
        <v>17</v>
      </c>
    </row>
    <row r="547" spans="1:7" x14ac:dyDescent="0.15">
      <c r="A547" s="2" t="s">
        <v>1658</v>
      </c>
      <c r="B547" s="2" t="s">
        <v>1659</v>
      </c>
      <c r="C547" s="2" t="s">
        <v>1660</v>
      </c>
      <c r="D547" s="2" t="s">
        <v>10</v>
      </c>
      <c r="E547" s="2" t="s">
        <v>95</v>
      </c>
      <c r="F547" s="3" t="str">
        <f>HYPERLINK("http://ovidsp.ovid.com/ovidweb.cgi?T=JS&amp;NEWS=n&amp;CSC=Y&amp;PAGE=booktext&amp;D=books&amp;AN=01382624$&amp;XPATH=/PG(0)","http://ovidsp.ovid.com/ovidweb.cgi?T=JS&amp;NEWS=n&amp;CSC=Y&amp;PAGE=booktext&amp;D=books&amp;AN=01382624$&amp;XPATH=/PG(0)")</f>
        <v>http://ovidsp.ovid.com/ovidweb.cgi?T=JS&amp;NEWS=n&amp;CSC=Y&amp;PAGE=booktext&amp;D=books&amp;AN=01382624$&amp;XPATH=/PG(0)</v>
      </c>
      <c r="G547" s="2" t="s">
        <v>17</v>
      </c>
    </row>
    <row r="548" spans="1:7" x14ac:dyDescent="0.15">
      <c r="A548" s="2" t="s">
        <v>1661</v>
      </c>
      <c r="B548" s="2" t="s">
        <v>1662</v>
      </c>
      <c r="C548" s="2" t="s">
        <v>1663</v>
      </c>
      <c r="D548" s="2" t="s">
        <v>10</v>
      </c>
      <c r="E548" s="2" t="s">
        <v>53</v>
      </c>
      <c r="F548" s="3" t="str">
        <f>HYPERLINK("http://ovidsp.ovid.com/ovidweb.cgi?T=JS&amp;NEWS=n&amp;CSC=Y&amp;PAGE=booktext&amp;D=books&amp;AN=01382621$&amp;XPATH=/PG(0)","http://ovidsp.ovid.com/ovidweb.cgi?T=JS&amp;NEWS=n&amp;CSC=Y&amp;PAGE=booktext&amp;D=books&amp;AN=01382621$&amp;XPATH=/PG(0)")</f>
        <v>http://ovidsp.ovid.com/ovidweb.cgi?T=JS&amp;NEWS=n&amp;CSC=Y&amp;PAGE=booktext&amp;D=books&amp;AN=01382621$&amp;XPATH=/PG(0)</v>
      </c>
      <c r="G548" s="2" t="s">
        <v>17</v>
      </c>
    </row>
    <row r="549" spans="1:7" x14ac:dyDescent="0.15">
      <c r="A549" s="2" t="s">
        <v>1664</v>
      </c>
      <c r="B549" s="2" t="s">
        <v>1665</v>
      </c>
      <c r="C549" s="2" t="s">
        <v>1666</v>
      </c>
      <c r="D549" s="2" t="s">
        <v>10</v>
      </c>
      <c r="E549" s="2" t="s">
        <v>45</v>
      </c>
      <c r="F549" s="3" t="str">
        <f>HYPERLINK("http://ovidsp.ovid.com/ovidweb.cgi?T=JS&amp;NEWS=n&amp;CSC=Y&amp;PAGE=booktext&amp;D=books&amp;AN=00149810$&amp;XPATH=/PG(0)","http://ovidsp.ovid.com/ovidweb.cgi?T=JS&amp;NEWS=n&amp;CSC=Y&amp;PAGE=booktext&amp;D=books&amp;AN=00149810$&amp;XPATH=/PG(0)")</f>
        <v>http://ovidsp.ovid.com/ovidweb.cgi?T=JS&amp;NEWS=n&amp;CSC=Y&amp;PAGE=booktext&amp;D=books&amp;AN=00149810$&amp;XPATH=/PG(0)</v>
      </c>
      <c r="G549" s="2" t="s">
        <v>17</v>
      </c>
    </row>
    <row r="550" spans="1:7" x14ac:dyDescent="0.15">
      <c r="A550" s="2" t="s">
        <v>1667</v>
      </c>
      <c r="B550" s="2" t="s">
        <v>1668</v>
      </c>
      <c r="C550" s="2" t="s">
        <v>1669</v>
      </c>
      <c r="D550" s="2" t="s">
        <v>10</v>
      </c>
      <c r="E550" s="2" t="s">
        <v>53</v>
      </c>
      <c r="F550" s="3" t="str">
        <f>HYPERLINK("http://ovidsp.ovid.com/ovidweb.cgi?T=JS&amp;NEWS=n&amp;CSC=Y&amp;PAGE=booktext&amp;D=books&amp;AN=00149849$&amp;XPATH=/PG(0)","http://ovidsp.ovid.com/ovidweb.cgi?T=JS&amp;NEWS=n&amp;CSC=Y&amp;PAGE=booktext&amp;D=books&amp;AN=00149849$&amp;XPATH=/PG(0)")</f>
        <v>http://ovidsp.ovid.com/ovidweb.cgi?T=JS&amp;NEWS=n&amp;CSC=Y&amp;PAGE=booktext&amp;D=books&amp;AN=00149849$&amp;XPATH=/PG(0)</v>
      </c>
      <c r="G550" s="2" t="s">
        <v>17</v>
      </c>
    </row>
    <row r="551" spans="1:7" x14ac:dyDescent="0.15">
      <c r="A551" s="2" t="s">
        <v>1670</v>
      </c>
      <c r="B551" s="2" t="s">
        <v>1671</v>
      </c>
      <c r="C551" s="2" t="s">
        <v>1672</v>
      </c>
      <c r="D551" s="2" t="s">
        <v>10</v>
      </c>
      <c r="E551" s="2" t="s">
        <v>95</v>
      </c>
      <c r="F551" s="3" t="str">
        <f>HYPERLINK("http://ovidsp.ovid.com/ovidweb.cgi?T=JS&amp;NEWS=n&amp;CSC=Y&amp;PAGE=booktext&amp;D=books&amp;AN=01382625$&amp;XPATH=/PG(0)","http://ovidsp.ovid.com/ovidweb.cgi?T=JS&amp;NEWS=n&amp;CSC=Y&amp;PAGE=booktext&amp;D=books&amp;AN=01382625$&amp;XPATH=/PG(0)")</f>
        <v>http://ovidsp.ovid.com/ovidweb.cgi?T=JS&amp;NEWS=n&amp;CSC=Y&amp;PAGE=booktext&amp;D=books&amp;AN=01382625$&amp;XPATH=/PG(0)</v>
      </c>
      <c r="G551" s="2" t="s">
        <v>17</v>
      </c>
    </row>
    <row r="552" spans="1:7" x14ac:dyDescent="0.15">
      <c r="A552" s="2" t="s">
        <v>1673</v>
      </c>
      <c r="B552" s="2" t="s">
        <v>1674</v>
      </c>
      <c r="C552" s="2" t="s">
        <v>1675</v>
      </c>
      <c r="D552" s="2" t="s">
        <v>10</v>
      </c>
      <c r="E552" s="2" t="s">
        <v>16</v>
      </c>
      <c r="F552" s="3" t="str">
        <f>HYPERLINK("http://ovidsp.ovid.com/ovidweb.cgi?T=JS&amp;NEWS=n&amp;CSC=Y&amp;PAGE=booktext&amp;D=books&amp;AN=01276486$&amp;XPATH=/PG(0)","http://ovidsp.ovid.com/ovidweb.cgi?T=JS&amp;NEWS=n&amp;CSC=Y&amp;PAGE=booktext&amp;D=books&amp;AN=01276486$&amp;XPATH=/PG(0)")</f>
        <v>http://ovidsp.ovid.com/ovidweb.cgi?T=JS&amp;NEWS=n&amp;CSC=Y&amp;PAGE=booktext&amp;D=books&amp;AN=01276486$&amp;XPATH=/PG(0)</v>
      </c>
      <c r="G552" s="2" t="s">
        <v>17</v>
      </c>
    </row>
    <row r="553" spans="1:7" x14ac:dyDescent="0.15">
      <c r="A553" s="2" t="s">
        <v>1676</v>
      </c>
      <c r="B553" s="2" t="s">
        <v>1677</v>
      </c>
      <c r="C553" s="2" t="s">
        <v>1678</v>
      </c>
      <c r="D553" s="2" t="s">
        <v>10</v>
      </c>
      <c r="E553" s="2" t="s">
        <v>16</v>
      </c>
      <c r="F553" s="3" t="str">
        <f>HYPERLINK("http://ovidsp.ovid.com/ovidweb.cgi?T=JS&amp;NEWS=n&amp;CSC=Y&amp;PAGE=booktext&amp;D=books&amp;AN=01279754$&amp;XPATH=/PG(0)","http://ovidsp.ovid.com/ovidweb.cgi?T=JS&amp;NEWS=n&amp;CSC=Y&amp;PAGE=booktext&amp;D=books&amp;AN=01279754$&amp;XPATH=/PG(0)")</f>
        <v>http://ovidsp.ovid.com/ovidweb.cgi?T=JS&amp;NEWS=n&amp;CSC=Y&amp;PAGE=booktext&amp;D=books&amp;AN=01279754$&amp;XPATH=/PG(0)</v>
      </c>
      <c r="G553" s="2" t="s">
        <v>17</v>
      </c>
    </row>
    <row r="554" spans="1:7" x14ac:dyDescent="0.15">
      <c r="A554" s="2" t="s">
        <v>1679</v>
      </c>
      <c r="B554" s="2" t="s">
        <v>1680</v>
      </c>
      <c r="C554" s="2" t="s">
        <v>1681</v>
      </c>
      <c r="D554" s="2" t="s">
        <v>10</v>
      </c>
      <c r="E554" s="2" t="s">
        <v>45</v>
      </c>
      <c r="F554" s="3" t="str">
        <f>HYPERLINK("http://ovidsp.ovid.com/ovidweb.cgi?T=JS&amp;NEWS=n&amp;CSC=Y&amp;PAGE=booktext&amp;D=books&amp;AN=01337567$&amp;XPATH=/PG(0)","http://ovidsp.ovid.com/ovidweb.cgi?T=JS&amp;NEWS=n&amp;CSC=Y&amp;PAGE=booktext&amp;D=books&amp;AN=01337567$&amp;XPATH=/PG(0)")</f>
        <v>http://ovidsp.ovid.com/ovidweb.cgi?T=JS&amp;NEWS=n&amp;CSC=Y&amp;PAGE=booktext&amp;D=books&amp;AN=01337567$&amp;XPATH=/PG(0)</v>
      </c>
      <c r="G554" s="2" t="s">
        <v>17</v>
      </c>
    </row>
    <row r="555" spans="1:7" x14ac:dyDescent="0.15">
      <c r="A555" s="2" t="s">
        <v>1682</v>
      </c>
      <c r="B555" s="2" t="s">
        <v>1683</v>
      </c>
      <c r="C555" s="2" t="s">
        <v>1684</v>
      </c>
      <c r="D555" s="2" t="s">
        <v>10</v>
      </c>
      <c r="E555" s="2" t="s">
        <v>235</v>
      </c>
      <c r="F555" s="3" t="str">
        <f>HYPERLINK("http://ovidsp.ovid.com/ovidweb.cgi?T=JS&amp;NEWS=n&amp;CSC=Y&amp;PAGE=booktext&amp;D=books&amp;AN=01382488$&amp;XPATH=/PG(0)","http://ovidsp.ovid.com/ovidweb.cgi?T=JS&amp;NEWS=n&amp;CSC=Y&amp;PAGE=booktext&amp;D=books&amp;AN=01382488$&amp;XPATH=/PG(0)")</f>
        <v>http://ovidsp.ovid.com/ovidweb.cgi?T=JS&amp;NEWS=n&amp;CSC=Y&amp;PAGE=booktext&amp;D=books&amp;AN=01382488$&amp;XPATH=/PG(0)</v>
      </c>
      <c r="G555" s="2" t="s">
        <v>17</v>
      </c>
    </row>
    <row r="556" spans="1:7" x14ac:dyDescent="0.15">
      <c r="A556" s="2" t="s">
        <v>1685</v>
      </c>
      <c r="B556" s="2" t="s">
        <v>1686</v>
      </c>
      <c r="C556" s="2" t="s">
        <v>1687</v>
      </c>
      <c r="D556" s="2" t="s">
        <v>10</v>
      </c>
      <c r="E556" s="2" t="s">
        <v>45</v>
      </c>
      <c r="F556" s="3" t="str">
        <f>HYPERLINK("http://ovidsp.ovid.com/ovidweb.cgi?T=JS&amp;NEWS=n&amp;CSC=Y&amp;PAGE=booktext&amp;D=books&amp;AN=01382742$&amp;XPATH=/PG(0)","http://ovidsp.ovid.com/ovidweb.cgi?T=JS&amp;NEWS=n&amp;CSC=Y&amp;PAGE=booktext&amp;D=books&amp;AN=01382742$&amp;XPATH=/PG(0)")</f>
        <v>http://ovidsp.ovid.com/ovidweb.cgi?T=JS&amp;NEWS=n&amp;CSC=Y&amp;PAGE=booktext&amp;D=books&amp;AN=01382742$&amp;XPATH=/PG(0)</v>
      </c>
      <c r="G556" s="2" t="s">
        <v>12</v>
      </c>
    </row>
    <row r="557" spans="1:7" x14ac:dyDescent="0.15">
      <c r="A557" s="2" t="s">
        <v>1688</v>
      </c>
      <c r="B557" s="2" t="s">
        <v>1689</v>
      </c>
      <c r="C557" s="2" t="s">
        <v>1690</v>
      </c>
      <c r="D557" s="2" t="s">
        <v>10</v>
      </c>
      <c r="E557" s="2" t="s">
        <v>16</v>
      </c>
      <c r="F557" s="3" t="str">
        <f>HYPERLINK("http://ovidsp.ovid.com/ovidweb.cgi?T=JS&amp;NEWS=n&amp;CSC=Y&amp;PAGE=booktext&amp;D=books&amp;AN=01382782$&amp;XPATH=/PG(0)","http://ovidsp.ovid.com/ovidweb.cgi?T=JS&amp;NEWS=n&amp;CSC=Y&amp;PAGE=booktext&amp;D=books&amp;AN=01382782$&amp;XPATH=/PG(0)")</f>
        <v>http://ovidsp.ovid.com/ovidweb.cgi?T=JS&amp;NEWS=n&amp;CSC=Y&amp;PAGE=booktext&amp;D=books&amp;AN=01382782$&amp;XPATH=/PG(0)</v>
      </c>
      <c r="G557" s="2" t="s">
        <v>12</v>
      </c>
    </row>
    <row r="558" spans="1:7" x14ac:dyDescent="0.15">
      <c r="A558" s="2" t="s">
        <v>1691</v>
      </c>
      <c r="B558" s="2" t="s">
        <v>1692</v>
      </c>
      <c r="C558" s="2" t="s">
        <v>1693</v>
      </c>
      <c r="D558" s="2" t="s">
        <v>10</v>
      </c>
      <c r="E558" s="2" t="s">
        <v>16</v>
      </c>
      <c r="F558" s="3" t="str">
        <f>HYPERLINK("http://ovidsp.ovid.com/ovidweb.cgi?T=JS&amp;NEWS=n&amp;CSC=Y&amp;PAGE=booktext&amp;D=books&amp;AN=01382792$&amp;XPATH=/PG(0)","http://ovidsp.ovid.com/ovidweb.cgi?T=JS&amp;NEWS=n&amp;CSC=Y&amp;PAGE=booktext&amp;D=books&amp;AN=01382792$&amp;XPATH=/PG(0)")</f>
        <v>http://ovidsp.ovid.com/ovidweb.cgi?T=JS&amp;NEWS=n&amp;CSC=Y&amp;PAGE=booktext&amp;D=books&amp;AN=01382792$&amp;XPATH=/PG(0)</v>
      </c>
      <c r="G558" s="2" t="s">
        <v>12</v>
      </c>
    </row>
    <row r="559" spans="1:7" x14ac:dyDescent="0.15">
      <c r="A559" s="2" t="s">
        <v>1694</v>
      </c>
      <c r="B559" s="2" t="s">
        <v>1695</v>
      </c>
      <c r="C559" s="2" t="s">
        <v>1696</v>
      </c>
      <c r="D559" s="2" t="s">
        <v>10</v>
      </c>
      <c r="E559" s="2" t="s">
        <v>16</v>
      </c>
      <c r="F559" s="3" t="str">
        <f>HYPERLINK("http://ovidsp.ovid.com/ovidweb.cgi?T=JS&amp;NEWS=n&amp;CSC=Y&amp;PAGE=booktext&amp;D=books&amp;AN=01382748$&amp;XPATH=/PG(0)","http://ovidsp.ovid.com/ovidweb.cgi?T=JS&amp;NEWS=n&amp;CSC=Y&amp;PAGE=booktext&amp;D=books&amp;AN=01382748$&amp;XPATH=/PG(0)")</f>
        <v>http://ovidsp.ovid.com/ovidweb.cgi?T=JS&amp;NEWS=n&amp;CSC=Y&amp;PAGE=booktext&amp;D=books&amp;AN=01382748$&amp;XPATH=/PG(0)</v>
      </c>
      <c r="G559" s="2" t="s">
        <v>12</v>
      </c>
    </row>
    <row r="560" spans="1:7" x14ac:dyDescent="0.15">
      <c r="A560" s="2" t="s">
        <v>1697</v>
      </c>
      <c r="B560" s="2" t="s">
        <v>1698</v>
      </c>
      <c r="C560" s="2" t="s">
        <v>1699</v>
      </c>
      <c r="D560" s="2" t="s">
        <v>10</v>
      </c>
      <c r="E560" s="2" t="s">
        <v>16</v>
      </c>
      <c r="F560" s="3" t="str">
        <f>HYPERLINK("http://ovidsp.ovid.com/ovidweb.cgi?T=JS&amp;NEWS=n&amp;CSC=Y&amp;PAGE=booktext&amp;D=books&amp;AN=01382781$&amp;XPATH=/PG(0)","http://ovidsp.ovid.com/ovidweb.cgi?T=JS&amp;NEWS=n&amp;CSC=Y&amp;PAGE=booktext&amp;D=books&amp;AN=01382781$&amp;XPATH=/PG(0)")</f>
        <v>http://ovidsp.ovid.com/ovidweb.cgi?T=JS&amp;NEWS=n&amp;CSC=Y&amp;PAGE=booktext&amp;D=books&amp;AN=01382781$&amp;XPATH=/PG(0)</v>
      </c>
      <c r="G560" s="2" t="s">
        <v>12</v>
      </c>
    </row>
    <row r="561" spans="1:7" x14ac:dyDescent="0.15">
      <c r="A561" s="2" t="s">
        <v>1700</v>
      </c>
      <c r="B561" s="2" t="s">
        <v>1701</v>
      </c>
      <c r="C561" s="2" t="s">
        <v>1702</v>
      </c>
      <c r="D561" s="2" t="s">
        <v>10</v>
      </c>
      <c r="E561" s="2" t="s">
        <v>16</v>
      </c>
      <c r="F561" s="3" t="str">
        <f>HYPERLINK("http://ovidsp.ovid.com/ovidweb.cgi?T=JS&amp;NEWS=n&amp;CSC=Y&amp;PAGE=booktext&amp;D=books&amp;AN=01382756$&amp;XPATH=/PG(0)","http://ovidsp.ovid.com/ovidweb.cgi?T=JS&amp;NEWS=n&amp;CSC=Y&amp;PAGE=booktext&amp;D=books&amp;AN=01382756$&amp;XPATH=/PG(0)")</f>
        <v>http://ovidsp.ovid.com/ovidweb.cgi?T=JS&amp;NEWS=n&amp;CSC=Y&amp;PAGE=booktext&amp;D=books&amp;AN=01382756$&amp;XPATH=/PG(0)</v>
      </c>
      <c r="G561" s="2" t="s">
        <v>12</v>
      </c>
    </row>
    <row r="562" spans="1:7" x14ac:dyDescent="0.15">
      <c r="A562" s="2" t="s">
        <v>1703</v>
      </c>
      <c r="B562" s="2" t="s">
        <v>1704</v>
      </c>
      <c r="C562" s="2" t="s">
        <v>1705</v>
      </c>
      <c r="D562" s="2" t="s">
        <v>10</v>
      </c>
      <c r="E562" s="2" t="s">
        <v>16</v>
      </c>
      <c r="F562" s="3" t="str">
        <f>HYPERLINK("http://ovidsp.ovid.com/ovidweb.cgi?T=JS&amp;NEWS=n&amp;CSC=Y&amp;PAGE=booktext&amp;D=books&amp;AN=01382789$&amp;XPATH=/PG(0)","http://ovidsp.ovid.com/ovidweb.cgi?T=JS&amp;NEWS=n&amp;CSC=Y&amp;PAGE=booktext&amp;D=books&amp;AN=01382789$&amp;XPATH=/PG(0)")</f>
        <v>http://ovidsp.ovid.com/ovidweb.cgi?T=JS&amp;NEWS=n&amp;CSC=Y&amp;PAGE=booktext&amp;D=books&amp;AN=01382789$&amp;XPATH=/PG(0)</v>
      </c>
      <c r="G562" s="2" t="s">
        <v>12</v>
      </c>
    </row>
    <row r="563" spans="1:7" x14ac:dyDescent="0.15">
      <c r="A563" s="2" t="s">
        <v>1706</v>
      </c>
      <c r="B563" s="2" t="s">
        <v>1707</v>
      </c>
      <c r="C563" s="2" t="s">
        <v>1708</v>
      </c>
      <c r="D563" s="2" t="s">
        <v>10</v>
      </c>
      <c r="E563" s="2" t="s">
        <v>16</v>
      </c>
      <c r="F563" s="3" t="str">
        <f>HYPERLINK("http://ovidsp.ovid.com/ovidweb.cgi?T=JS&amp;NEWS=n&amp;CSC=Y&amp;PAGE=booktext&amp;D=books&amp;AN=01382864$&amp;XPATH=/PG(0)","http://ovidsp.ovid.com/ovidweb.cgi?T=JS&amp;NEWS=n&amp;CSC=Y&amp;PAGE=booktext&amp;D=books&amp;AN=01382864$&amp;XPATH=/PG(0)")</f>
        <v>http://ovidsp.ovid.com/ovidweb.cgi?T=JS&amp;NEWS=n&amp;CSC=Y&amp;PAGE=booktext&amp;D=books&amp;AN=01382864$&amp;XPATH=/PG(0)</v>
      </c>
      <c r="G563" s="2" t="s">
        <v>12</v>
      </c>
    </row>
    <row r="564" spans="1:7" x14ac:dyDescent="0.15">
      <c r="A564" s="2" t="s">
        <v>1709</v>
      </c>
      <c r="B564" s="2" t="s">
        <v>1710</v>
      </c>
      <c r="C564" s="2" t="s">
        <v>1711</v>
      </c>
      <c r="D564" s="2" t="s">
        <v>10</v>
      </c>
      <c r="E564" s="2" t="s">
        <v>45</v>
      </c>
      <c r="F564" s="3" t="str">
        <f>HYPERLINK("http://ovidsp.ovid.com/ovidweb.cgi?T=JS&amp;NEWS=n&amp;CSC=Y&amp;PAGE=booktext&amp;D=books&amp;AN=01382733$&amp;XPATH=/PG(0)","http://ovidsp.ovid.com/ovidweb.cgi?T=JS&amp;NEWS=n&amp;CSC=Y&amp;PAGE=booktext&amp;D=books&amp;AN=01382733$&amp;XPATH=/PG(0)")</f>
        <v>http://ovidsp.ovid.com/ovidweb.cgi?T=JS&amp;NEWS=n&amp;CSC=Y&amp;PAGE=booktext&amp;D=books&amp;AN=01382733$&amp;XPATH=/PG(0)</v>
      </c>
      <c r="G564" s="2" t="s">
        <v>12</v>
      </c>
    </row>
    <row r="565" spans="1:7" x14ac:dyDescent="0.15">
      <c r="A565" s="2" t="s">
        <v>1712</v>
      </c>
      <c r="B565" s="2" t="s">
        <v>1713</v>
      </c>
      <c r="C565" s="2" t="s">
        <v>1714</v>
      </c>
      <c r="D565" s="2" t="s">
        <v>10</v>
      </c>
      <c r="E565" s="2" t="s">
        <v>16</v>
      </c>
      <c r="F565" s="3" t="str">
        <f>HYPERLINK("http://ovidsp.ovid.com/ovidweb.cgi?T=JS&amp;NEWS=n&amp;CSC=Y&amp;PAGE=booktext&amp;D=books&amp;AN=01382862$&amp;XPATH=/PG(0)","http://ovidsp.ovid.com/ovidweb.cgi?T=JS&amp;NEWS=n&amp;CSC=Y&amp;PAGE=booktext&amp;D=books&amp;AN=01382862$&amp;XPATH=/PG(0)")</f>
        <v>http://ovidsp.ovid.com/ovidweb.cgi?T=JS&amp;NEWS=n&amp;CSC=Y&amp;PAGE=booktext&amp;D=books&amp;AN=01382862$&amp;XPATH=/PG(0)</v>
      </c>
      <c r="G565" s="2" t="s">
        <v>12</v>
      </c>
    </row>
    <row r="566" spans="1:7" x14ac:dyDescent="0.15">
      <c r="A566" s="2" t="s">
        <v>1715</v>
      </c>
      <c r="B566" s="2" t="s">
        <v>1716</v>
      </c>
      <c r="C566" s="2" t="s">
        <v>1717</v>
      </c>
      <c r="D566" s="2" t="s">
        <v>10</v>
      </c>
      <c r="E566" s="2" t="s">
        <v>16</v>
      </c>
      <c r="F566" s="3" t="str">
        <f>HYPERLINK("http://ovidsp.ovid.com/ovidweb.cgi?T=JS&amp;NEWS=n&amp;CSC=Y&amp;PAGE=booktext&amp;D=books&amp;AN=01382865$&amp;XPATH=/PG(0)","http://ovidsp.ovid.com/ovidweb.cgi?T=JS&amp;NEWS=n&amp;CSC=Y&amp;PAGE=booktext&amp;D=books&amp;AN=01382865$&amp;XPATH=/PG(0)")</f>
        <v>http://ovidsp.ovid.com/ovidweb.cgi?T=JS&amp;NEWS=n&amp;CSC=Y&amp;PAGE=booktext&amp;D=books&amp;AN=01382865$&amp;XPATH=/PG(0)</v>
      </c>
      <c r="G566" s="2" t="s">
        <v>12</v>
      </c>
    </row>
    <row r="567" spans="1:7" x14ac:dyDescent="0.15">
      <c r="A567" s="2" t="s">
        <v>1718</v>
      </c>
      <c r="B567" s="2" t="s">
        <v>1719</v>
      </c>
      <c r="C567" s="2" t="s">
        <v>1720</v>
      </c>
      <c r="D567" s="2" t="s">
        <v>10</v>
      </c>
      <c r="E567" s="2" t="s">
        <v>16</v>
      </c>
      <c r="F567" s="3" t="str">
        <f>HYPERLINK("http://ovidsp.ovid.com/ovidweb.cgi?T=JS&amp;NEWS=n&amp;CSC=Y&amp;PAGE=booktext&amp;D=books&amp;AN=01382866$&amp;XPATH=/PG(0)","http://ovidsp.ovid.com/ovidweb.cgi?T=JS&amp;NEWS=n&amp;CSC=Y&amp;PAGE=booktext&amp;D=books&amp;AN=01382866$&amp;XPATH=/PG(0)")</f>
        <v>http://ovidsp.ovid.com/ovidweb.cgi?T=JS&amp;NEWS=n&amp;CSC=Y&amp;PAGE=booktext&amp;D=books&amp;AN=01382866$&amp;XPATH=/PG(0)</v>
      </c>
      <c r="G567" s="2" t="s">
        <v>12</v>
      </c>
    </row>
    <row r="568" spans="1:7" x14ac:dyDescent="0.15">
      <c r="A568" s="2" t="s">
        <v>1721</v>
      </c>
      <c r="B568" s="2" t="s">
        <v>1722</v>
      </c>
      <c r="C568" s="2" t="s">
        <v>1723</v>
      </c>
      <c r="D568" s="2" t="s">
        <v>10</v>
      </c>
      <c r="E568" s="2" t="s">
        <v>16</v>
      </c>
      <c r="F568" s="3" t="str">
        <f>HYPERLINK("http://ovidsp.ovid.com/ovidweb.cgi?T=JS&amp;NEWS=n&amp;CSC=Y&amp;PAGE=booktext&amp;D=books&amp;AN=01382732$&amp;XPATH=/PG(0)","http://ovidsp.ovid.com/ovidweb.cgi?T=JS&amp;NEWS=n&amp;CSC=Y&amp;PAGE=booktext&amp;D=books&amp;AN=01382732$&amp;XPATH=/PG(0)")</f>
        <v>http://ovidsp.ovid.com/ovidweb.cgi?T=JS&amp;NEWS=n&amp;CSC=Y&amp;PAGE=booktext&amp;D=books&amp;AN=01382732$&amp;XPATH=/PG(0)</v>
      </c>
      <c r="G568" s="2" t="s">
        <v>12</v>
      </c>
    </row>
    <row r="569" spans="1:7" x14ac:dyDescent="0.15">
      <c r="A569" s="2" t="s">
        <v>1724</v>
      </c>
      <c r="B569" s="2" t="s">
        <v>1725</v>
      </c>
      <c r="C569" s="2" t="s">
        <v>1726</v>
      </c>
      <c r="D569" s="2" t="s">
        <v>10</v>
      </c>
      <c r="E569" s="2" t="s">
        <v>53</v>
      </c>
      <c r="F569" s="3" t="str">
        <f>HYPERLINK("http://ovidsp.ovid.com/ovidweb.cgi?T=JS&amp;NEWS=n&amp;CSC=Y&amp;PAGE=booktext&amp;D=books&amp;AN=01223026$&amp;XPATH=/PG(0)","http://ovidsp.ovid.com/ovidweb.cgi?T=JS&amp;NEWS=n&amp;CSC=Y&amp;PAGE=booktext&amp;D=books&amp;AN=01223026$&amp;XPATH=/PG(0)")</f>
        <v>http://ovidsp.ovid.com/ovidweb.cgi?T=JS&amp;NEWS=n&amp;CSC=Y&amp;PAGE=booktext&amp;D=books&amp;AN=01223026$&amp;XPATH=/PG(0)</v>
      </c>
      <c r="G569" s="2" t="s">
        <v>12</v>
      </c>
    </row>
    <row r="570" spans="1:7" x14ac:dyDescent="0.15">
      <c r="A570" s="2" t="s">
        <v>1727</v>
      </c>
      <c r="B570" s="2" t="s">
        <v>1728</v>
      </c>
      <c r="C570" s="2" t="s">
        <v>1729</v>
      </c>
      <c r="D570" s="2" t="s">
        <v>10</v>
      </c>
      <c r="E570" s="2" t="s">
        <v>53</v>
      </c>
      <c r="F570" s="3" t="str">
        <f>HYPERLINK("http://ovidsp.ovid.com/ovidweb.cgi?T=JS&amp;NEWS=n&amp;CSC=Y&amp;PAGE=booktext&amp;D=books&amp;AN=00139967$&amp;XPATH=/PG(0)","http://ovidsp.ovid.com/ovidweb.cgi?T=JS&amp;NEWS=n&amp;CSC=Y&amp;PAGE=booktext&amp;D=books&amp;AN=00139967$&amp;XPATH=/PG(0)")</f>
        <v>http://ovidsp.ovid.com/ovidweb.cgi?T=JS&amp;NEWS=n&amp;CSC=Y&amp;PAGE=booktext&amp;D=books&amp;AN=00139967$&amp;XPATH=/PG(0)</v>
      </c>
      <c r="G570" s="2" t="s">
        <v>12</v>
      </c>
    </row>
    <row r="571" spans="1:7" x14ac:dyDescent="0.15">
      <c r="A571" s="2" t="s">
        <v>1730</v>
      </c>
      <c r="B571" s="2" t="s">
        <v>1731</v>
      </c>
      <c r="C571" s="2" t="s">
        <v>1732</v>
      </c>
      <c r="D571" s="2" t="s">
        <v>10</v>
      </c>
      <c r="E571" s="2" t="s">
        <v>16</v>
      </c>
      <c r="F571" s="3" t="str">
        <f>HYPERLINK("http://ovidsp.ovid.com/ovidweb.cgi?T=JS&amp;NEWS=n&amp;CSC=Y&amp;PAGE=booktext&amp;D=books&amp;AN=01382813$&amp;XPATH=/PG(0)","http://ovidsp.ovid.com/ovidweb.cgi?T=JS&amp;NEWS=n&amp;CSC=Y&amp;PAGE=booktext&amp;D=books&amp;AN=01382813$&amp;XPATH=/PG(0)")</f>
        <v>http://ovidsp.ovid.com/ovidweb.cgi?T=JS&amp;NEWS=n&amp;CSC=Y&amp;PAGE=booktext&amp;D=books&amp;AN=01382813$&amp;XPATH=/PG(0)</v>
      </c>
      <c r="G571" s="2" t="s">
        <v>12</v>
      </c>
    </row>
    <row r="572" spans="1:7" x14ac:dyDescent="0.15">
      <c r="A572" s="2" t="s">
        <v>1733</v>
      </c>
      <c r="B572" s="2" t="s">
        <v>1734</v>
      </c>
      <c r="C572" s="2" t="s">
        <v>1735</v>
      </c>
      <c r="D572" s="2" t="s">
        <v>10</v>
      </c>
      <c r="E572" s="2" t="s">
        <v>16</v>
      </c>
      <c r="F572" s="3" t="str">
        <f>HYPERLINK("http://ovidsp.ovid.com/ovidweb.cgi?T=JS&amp;NEWS=n&amp;CSC=Y&amp;PAGE=booktext&amp;D=books&amp;AN=01382772$&amp;XPATH=/PG(0)","http://ovidsp.ovid.com/ovidweb.cgi?T=JS&amp;NEWS=n&amp;CSC=Y&amp;PAGE=booktext&amp;D=books&amp;AN=01382772$&amp;XPATH=/PG(0)")</f>
        <v>http://ovidsp.ovid.com/ovidweb.cgi?T=JS&amp;NEWS=n&amp;CSC=Y&amp;PAGE=booktext&amp;D=books&amp;AN=01382772$&amp;XPATH=/PG(0)</v>
      </c>
      <c r="G572" s="2" t="s">
        <v>12</v>
      </c>
    </row>
    <row r="573" spans="1:7" x14ac:dyDescent="0.15">
      <c r="A573" s="2" t="s">
        <v>1736</v>
      </c>
      <c r="B573" s="2" t="s">
        <v>1737</v>
      </c>
      <c r="C573" s="2" t="s">
        <v>1738</v>
      </c>
      <c r="D573" s="2" t="s">
        <v>10</v>
      </c>
      <c r="E573" s="2" t="s">
        <v>49</v>
      </c>
      <c r="F573" s="3" t="str">
        <f>HYPERLINK("http://ovidsp.ovid.com/ovidweb.cgi?T=JS&amp;NEWS=n&amp;CSC=Y&amp;PAGE=booktext&amp;D=books&amp;AN=00146941$&amp;XPATH=/PG(0)","http://ovidsp.ovid.com/ovidweb.cgi?T=JS&amp;NEWS=n&amp;CSC=Y&amp;PAGE=booktext&amp;D=books&amp;AN=00146941$&amp;XPATH=/PG(0)")</f>
        <v>http://ovidsp.ovid.com/ovidweb.cgi?T=JS&amp;NEWS=n&amp;CSC=Y&amp;PAGE=booktext&amp;D=books&amp;AN=00146941$&amp;XPATH=/PG(0)</v>
      </c>
      <c r="G573" s="2" t="s">
        <v>12</v>
      </c>
    </row>
    <row r="574" spans="1:7" x14ac:dyDescent="0.15">
      <c r="A574" s="2" t="s">
        <v>1739</v>
      </c>
      <c r="B574" s="2" t="s">
        <v>1740</v>
      </c>
      <c r="C574" s="2" t="s">
        <v>1741</v>
      </c>
      <c r="D574" s="2" t="s">
        <v>10</v>
      </c>
      <c r="E574" s="2" t="s">
        <v>251</v>
      </c>
      <c r="F574" s="3" t="str">
        <f>HYPERLINK("http://ovidsp.ovid.com/ovidweb.cgi?T=JS&amp;NEWS=n&amp;CSC=Y&amp;PAGE=booktext&amp;D=books&amp;AN=01376506$&amp;XPATH=/PG(0)","http://ovidsp.ovid.com/ovidweb.cgi?T=JS&amp;NEWS=n&amp;CSC=Y&amp;PAGE=booktext&amp;D=books&amp;AN=01376506$&amp;XPATH=/PG(0)")</f>
        <v>http://ovidsp.ovid.com/ovidweb.cgi?T=JS&amp;NEWS=n&amp;CSC=Y&amp;PAGE=booktext&amp;D=books&amp;AN=01376506$&amp;XPATH=/PG(0)</v>
      </c>
      <c r="G574" s="2" t="s">
        <v>12</v>
      </c>
    </row>
    <row r="575" spans="1:7" x14ac:dyDescent="0.15">
      <c r="A575" s="2" t="s">
        <v>1742</v>
      </c>
      <c r="B575" s="2" t="s">
        <v>1743</v>
      </c>
      <c r="C575" s="2" t="s">
        <v>1744</v>
      </c>
      <c r="D575" s="2" t="s">
        <v>10</v>
      </c>
      <c r="E575" s="2" t="s">
        <v>1484</v>
      </c>
      <c r="F575" s="3" t="str">
        <f>HYPERLINK("http://ovidsp.ovid.com/ovidweb.cgi?T=JS&amp;NEWS=n&amp;CSC=Y&amp;PAGE=booktext&amp;D=books&amp;AN=00139968$&amp;XPATH=/PG(0)","http://ovidsp.ovid.com/ovidweb.cgi?T=JS&amp;NEWS=n&amp;CSC=Y&amp;PAGE=booktext&amp;D=books&amp;AN=00139968$&amp;XPATH=/PG(0)")</f>
        <v>http://ovidsp.ovid.com/ovidweb.cgi?T=JS&amp;NEWS=n&amp;CSC=Y&amp;PAGE=booktext&amp;D=books&amp;AN=00139968$&amp;XPATH=/PG(0)</v>
      </c>
      <c r="G575" s="2" t="s">
        <v>12</v>
      </c>
    </row>
    <row r="576" spans="1:7" x14ac:dyDescent="0.15">
      <c r="A576" s="2" t="s">
        <v>1742</v>
      </c>
      <c r="B576" s="2" t="s">
        <v>1745</v>
      </c>
      <c r="C576" s="2" t="s">
        <v>1746</v>
      </c>
      <c r="D576" s="2" t="s">
        <v>1747</v>
      </c>
      <c r="E576" s="2" t="s">
        <v>11</v>
      </c>
      <c r="F576" s="3" t="str">
        <f>HYPERLINK("http://ovidsp.ovid.com/ovidweb.cgi?T=JS&amp;NEWS=n&amp;CSC=Y&amp;PAGE=booktext&amp;D=books&amp;AN=01273096$&amp;XPATH=/PG(0)","http://ovidsp.ovid.com/ovidweb.cgi?T=JS&amp;NEWS=n&amp;CSC=Y&amp;PAGE=booktext&amp;D=books&amp;AN=01273096$&amp;XPATH=/PG(0)")</f>
        <v>http://ovidsp.ovid.com/ovidweb.cgi?T=JS&amp;NEWS=n&amp;CSC=Y&amp;PAGE=booktext&amp;D=books&amp;AN=01273096$&amp;XPATH=/PG(0)</v>
      </c>
      <c r="G576" s="2" t="s">
        <v>12</v>
      </c>
    </row>
    <row r="577" spans="1:7" x14ac:dyDescent="0.15">
      <c r="A577" s="2" t="s">
        <v>1748</v>
      </c>
      <c r="B577" s="2" t="s">
        <v>1749</v>
      </c>
      <c r="C577" s="2" t="s">
        <v>1750</v>
      </c>
      <c r="D577" s="2" t="s">
        <v>10</v>
      </c>
      <c r="E577" s="2" t="s">
        <v>16</v>
      </c>
      <c r="F577" s="3" t="str">
        <f>HYPERLINK("http://ovidsp.ovid.com/ovidweb.cgi?T=JS&amp;NEWS=n&amp;CSC=Y&amp;PAGE=booktext&amp;D=books&amp;AN=01382805$&amp;XPATH=/PG(0)","http://ovidsp.ovid.com/ovidweb.cgi?T=JS&amp;NEWS=n&amp;CSC=Y&amp;PAGE=booktext&amp;D=books&amp;AN=01382805$&amp;XPATH=/PG(0)")</f>
        <v>http://ovidsp.ovid.com/ovidweb.cgi?T=JS&amp;NEWS=n&amp;CSC=Y&amp;PAGE=booktext&amp;D=books&amp;AN=01382805$&amp;XPATH=/PG(0)</v>
      </c>
      <c r="G577" s="2" t="s">
        <v>12</v>
      </c>
    </row>
    <row r="578" spans="1:7" x14ac:dyDescent="0.15">
      <c r="A578" s="2" t="s">
        <v>1751</v>
      </c>
      <c r="B578" s="2" t="s">
        <v>1752</v>
      </c>
      <c r="C578" s="2" t="s">
        <v>1753</v>
      </c>
      <c r="D578" s="2" t="s">
        <v>10</v>
      </c>
      <c r="E578" s="2" t="s">
        <v>95</v>
      </c>
      <c r="F578" s="3" t="str">
        <f>HYPERLINK("http://ovidsp.ovid.com/ovidweb.cgi?T=JS&amp;NEWS=n&amp;CSC=Y&amp;PAGE=booktext&amp;D=books&amp;AN=00139969$&amp;XPATH=/PG(0)","http://ovidsp.ovid.com/ovidweb.cgi?T=JS&amp;NEWS=n&amp;CSC=Y&amp;PAGE=booktext&amp;D=books&amp;AN=00139969$&amp;XPATH=/PG(0)")</f>
        <v>http://ovidsp.ovid.com/ovidweb.cgi?T=JS&amp;NEWS=n&amp;CSC=Y&amp;PAGE=booktext&amp;D=books&amp;AN=00139969$&amp;XPATH=/PG(0)</v>
      </c>
      <c r="G578" s="2" t="s">
        <v>12</v>
      </c>
    </row>
    <row r="579" spans="1:7" x14ac:dyDescent="0.15">
      <c r="A579" s="2" t="s">
        <v>1754</v>
      </c>
      <c r="B579" s="2" t="s">
        <v>1755</v>
      </c>
      <c r="C579" s="2" t="s">
        <v>1756</v>
      </c>
      <c r="D579" s="2" t="s">
        <v>10</v>
      </c>
      <c r="E579" s="2" t="s">
        <v>1241</v>
      </c>
      <c r="F579" s="3" t="str">
        <f>HYPERLINK("http://ovidsp.ovid.com/ovidweb.cgi?T=JS&amp;NEWS=n&amp;CSC=Y&amp;PAGE=booktext&amp;D=books&amp;AN=01382846$&amp;XPATH=/PG(0)","http://ovidsp.ovid.com/ovidweb.cgi?T=JS&amp;NEWS=n&amp;CSC=Y&amp;PAGE=booktext&amp;D=books&amp;AN=01382846$&amp;XPATH=/PG(0)")</f>
        <v>http://ovidsp.ovid.com/ovidweb.cgi?T=JS&amp;NEWS=n&amp;CSC=Y&amp;PAGE=booktext&amp;D=books&amp;AN=01382846$&amp;XPATH=/PG(0)</v>
      </c>
      <c r="G579" s="2" t="s">
        <v>12</v>
      </c>
    </row>
    <row r="580" spans="1:7" x14ac:dyDescent="0.15">
      <c r="A580" s="2" t="s">
        <v>1757</v>
      </c>
      <c r="B580" s="2" t="s">
        <v>1758</v>
      </c>
      <c r="C580" s="2" t="s">
        <v>1759</v>
      </c>
      <c r="D580" s="2" t="s">
        <v>10</v>
      </c>
      <c r="E580" s="2" t="s">
        <v>16</v>
      </c>
      <c r="F580" s="3" t="str">
        <f>HYPERLINK("http://ovidsp.ovid.com/ovidweb.cgi?T=JS&amp;NEWS=n&amp;CSC=Y&amp;PAGE=booktext&amp;D=books&amp;AN=01382721$&amp;XPATH=/PG(0)","http://ovidsp.ovid.com/ovidweb.cgi?T=JS&amp;NEWS=n&amp;CSC=Y&amp;PAGE=booktext&amp;D=books&amp;AN=01382721$&amp;XPATH=/PG(0)")</f>
        <v>http://ovidsp.ovid.com/ovidweb.cgi?T=JS&amp;NEWS=n&amp;CSC=Y&amp;PAGE=booktext&amp;D=books&amp;AN=01382721$&amp;XPATH=/PG(0)</v>
      </c>
      <c r="G580" s="2" t="s">
        <v>12</v>
      </c>
    </row>
    <row r="581" spans="1:7" x14ac:dyDescent="0.15">
      <c r="A581" s="2" t="s">
        <v>1760</v>
      </c>
      <c r="B581" s="2" t="s">
        <v>1761</v>
      </c>
      <c r="C581" s="2" t="s">
        <v>1762</v>
      </c>
      <c r="D581" s="2" t="s">
        <v>10</v>
      </c>
      <c r="E581" s="2" t="s">
        <v>16</v>
      </c>
      <c r="F581" s="3" t="str">
        <f>HYPERLINK("http://ovidsp.ovid.com/ovidweb.cgi?T=JS&amp;NEWS=n&amp;CSC=Y&amp;PAGE=booktext&amp;D=books&amp;AN=01382727$&amp;XPATH=/PG(0)","http://ovidsp.ovid.com/ovidweb.cgi?T=JS&amp;NEWS=n&amp;CSC=Y&amp;PAGE=booktext&amp;D=books&amp;AN=01382727$&amp;XPATH=/PG(0)")</f>
        <v>http://ovidsp.ovid.com/ovidweb.cgi?T=JS&amp;NEWS=n&amp;CSC=Y&amp;PAGE=booktext&amp;D=books&amp;AN=01382727$&amp;XPATH=/PG(0)</v>
      </c>
      <c r="G581" s="2" t="s">
        <v>12</v>
      </c>
    </row>
    <row r="582" spans="1:7" x14ac:dyDescent="0.15">
      <c r="A582" s="2" t="s">
        <v>1763</v>
      </c>
      <c r="B582" s="2" t="s">
        <v>1764</v>
      </c>
      <c r="C582" s="2" t="s">
        <v>1765</v>
      </c>
      <c r="D582" s="2" t="s">
        <v>10</v>
      </c>
      <c r="E582" s="2" t="s">
        <v>16</v>
      </c>
      <c r="F582" s="3" t="str">
        <f>HYPERLINK("http://ovidsp.ovid.com/ovidweb.cgi?T=JS&amp;NEWS=n&amp;CSC=Y&amp;PAGE=booktext&amp;D=books&amp;AN=01382726$&amp;XPATH=/PG(0)","http://ovidsp.ovid.com/ovidweb.cgi?T=JS&amp;NEWS=n&amp;CSC=Y&amp;PAGE=booktext&amp;D=books&amp;AN=01382726$&amp;XPATH=/PG(0)")</f>
        <v>http://ovidsp.ovid.com/ovidweb.cgi?T=JS&amp;NEWS=n&amp;CSC=Y&amp;PAGE=booktext&amp;D=books&amp;AN=01382726$&amp;XPATH=/PG(0)</v>
      </c>
      <c r="G582" s="2" t="s">
        <v>12</v>
      </c>
    </row>
    <row r="583" spans="1:7" x14ac:dyDescent="0.15">
      <c r="A583" s="2" t="s">
        <v>1766</v>
      </c>
      <c r="B583" s="2" t="s">
        <v>1767</v>
      </c>
      <c r="C583" s="2" t="s">
        <v>1768</v>
      </c>
      <c r="D583" s="2" t="s">
        <v>10</v>
      </c>
      <c r="E583" s="2" t="s">
        <v>16</v>
      </c>
      <c r="F583" s="3" t="str">
        <f>HYPERLINK("http://ovidsp.ovid.com/ovidweb.cgi?T=JS&amp;NEWS=n&amp;CSC=Y&amp;PAGE=booktext&amp;D=books&amp;AN=01382730$&amp;XPATH=/PG(0)","http://ovidsp.ovid.com/ovidweb.cgi?T=JS&amp;NEWS=n&amp;CSC=Y&amp;PAGE=booktext&amp;D=books&amp;AN=01382730$&amp;XPATH=/PG(0)")</f>
        <v>http://ovidsp.ovid.com/ovidweb.cgi?T=JS&amp;NEWS=n&amp;CSC=Y&amp;PAGE=booktext&amp;D=books&amp;AN=01382730$&amp;XPATH=/PG(0)</v>
      </c>
      <c r="G583" s="2" t="s">
        <v>12</v>
      </c>
    </row>
    <row r="584" spans="1:7" x14ac:dyDescent="0.15">
      <c r="A584" s="2" t="s">
        <v>1769</v>
      </c>
      <c r="B584" s="2" t="s">
        <v>1770</v>
      </c>
      <c r="C584" s="2" t="s">
        <v>1771</v>
      </c>
      <c r="D584" s="2" t="s">
        <v>10</v>
      </c>
      <c r="E584" s="2" t="s">
        <v>16</v>
      </c>
      <c r="F584" s="3" t="str">
        <f>HYPERLINK("http://ovidsp.ovid.com/ovidweb.cgi?T=JS&amp;NEWS=n&amp;CSC=Y&amp;PAGE=booktext&amp;D=books&amp;AN=01382729$&amp;XPATH=/PG(0)","http://ovidsp.ovid.com/ovidweb.cgi?T=JS&amp;NEWS=n&amp;CSC=Y&amp;PAGE=booktext&amp;D=books&amp;AN=01382729$&amp;XPATH=/PG(0)")</f>
        <v>http://ovidsp.ovid.com/ovidweb.cgi?T=JS&amp;NEWS=n&amp;CSC=Y&amp;PAGE=booktext&amp;D=books&amp;AN=01382729$&amp;XPATH=/PG(0)</v>
      </c>
      <c r="G584" s="2" t="s">
        <v>12</v>
      </c>
    </row>
    <row r="585" spans="1:7" x14ac:dyDescent="0.15">
      <c r="A585" s="2" t="s">
        <v>1772</v>
      </c>
      <c r="B585" s="2" t="s">
        <v>1773</v>
      </c>
      <c r="C585" s="2" t="s">
        <v>1774</v>
      </c>
      <c r="D585" s="2" t="s">
        <v>10</v>
      </c>
      <c r="E585" s="2" t="s">
        <v>45</v>
      </c>
      <c r="F585" s="3" t="str">
        <f>HYPERLINK("http://ovidsp.ovid.com/ovidweb.cgi?T=JS&amp;NEWS=n&amp;CSC=Y&amp;PAGE=booktext&amp;D=books&amp;AN=01382717$&amp;XPATH=/PG(0)","http://ovidsp.ovid.com/ovidweb.cgi?T=JS&amp;NEWS=n&amp;CSC=Y&amp;PAGE=booktext&amp;D=books&amp;AN=01382717$&amp;XPATH=/PG(0)")</f>
        <v>http://ovidsp.ovid.com/ovidweb.cgi?T=JS&amp;NEWS=n&amp;CSC=Y&amp;PAGE=booktext&amp;D=books&amp;AN=01382717$&amp;XPATH=/PG(0)</v>
      </c>
      <c r="G585" s="2" t="s">
        <v>12</v>
      </c>
    </row>
    <row r="586" spans="1:7" x14ac:dyDescent="0.15">
      <c r="A586" s="2" t="s">
        <v>1775</v>
      </c>
      <c r="B586" s="2" t="s">
        <v>1776</v>
      </c>
      <c r="C586" s="2" t="s">
        <v>1777</v>
      </c>
      <c r="D586" s="2" t="s">
        <v>10</v>
      </c>
      <c r="E586" s="2" t="s">
        <v>16</v>
      </c>
      <c r="F586" s="3" t="str">
        <f>HYPERLINK("http://ovidsp.ovid.com/ovidweb.cgi?T=JS&amp;NEWS=n&amp;CSC=Y&amp;PAGE=booktext&amp;D=books&amp;AN=01382833$&amp;XPATH=/PG(0)","http://ovidsp.ovid.com/ovidweb.cgi?T=JS&amp;NEWS=n&amp;CSC=Y&amp;PAGE=booktext&amp;D=books&amp;AN=01382833$&amp;XPATH=/PG(0)")</f>
        <v>http://ovidsp.ovid.com/ovidweb.cgi?T=JS&amp;NEWS=n&amp;CSC=Y&amp;PAGE=booktext&amp;D=books&amp;AN=01382833$&amp;XPATH=/PG(0)</v>
      </c>
      <c r="G586" s="2" t="s">
        <v>12</v>
      </c>
    </row>
    <row r="587" spans="1:7" x14ac:dyDescent="0.15">
      <c r="A587" s="2" t="s">
        <v>1778</v>
      </c>
      <c r="B587" s="2" t="s">
        <v>1779</v>
      </c>
      <c r="C587" s="2" t="s">
        <v>1780</v>
      </c>
      <c r="D587" s="2" t="s">
        <v>10</v>
      </c>
      <c r="E587" s="2" t="s">
        <v>49</v>
      </c>
      <c r="F587" s="3" t="str">
        <f>HYPERLINK("http://ovidsp.ovid.com/ovidweb.cgi?T=JS&amp;NEWS=n&amp;CSC=Y&amp;PAGE=booktext&amp;D=books&amp;AN=00139970$&amp;XPATH=/PG(0)","http://ovidsp.ovid.com/ovidweb.cgi?T=JS&amp;NEWS=n&amp;CSC=Y&amp;PAGE=booktext&amp;D=books&amp;AN=00139970$&amp;XPATH=/PG(0)")</f>
        <v>http://ovidsp.ovid.com/ovidweb.cgi?T=JS&amp;NEWS=n&amp;CSC=Y&amp;PAGE=booktext&amp;D=books&amp;AN=00139970$&amp;XPATH=/PG(0)</v>
      </c>
      <c r="G587" s="2" t="s">
        <v>12</v>
      </c>
    </row>
    <row r="588" spans="1:7" x14ac:dyDescent="0.15">
      <c r="A588" s="2" t="s">
        <v>1781</v>
      </c>
      <c r="B588" s="2" t="s">
        <v>1782</v>
      </c>
      <c r="C588" s="2" t="s">
        <v>1783</v>
      </c>
      <c r="D588" s="2" t="s">
        <v>10</v>
      </c>
      <c r="E588" s="2" t="s">
        <v>16</v>
      </c>
      <c r="F588" s="3" t="str">
        <f>HYPERLINK("http://ovidsp.ovid.com/ovidweb.cgi?T=JS&amp;NEWS=n&amp;CSC=Y&amp;PAGE=booktext&amp;D=books&amp;AN=01382894$&amp;XPATH=/PG(0)","http://ovidsp.ovid.com/ovidweb.cgi?T=JS&amp;NEWS=n&amp;CSC=Y&amp;PAGE=booktext&amp;D=books&amp;AN=01382894$&amp;XPATH=/PG(0)")</f>
        <v>http://ovidsp.ovid.com/ovidweb.cgi?T=JS&amp;NEWS=n&amp;CSC=Y&amp;PAGE=booktext&amp;D=books&amp;AN=01382894$&amp;XPATH=/PG(0)</v>
      </c>
      <c r="G588" s="2" t="s">
        <v>12</v>
      </c>
    </row>
    <row r="589" spans="1:7" x14ac:dyDescent="0.15">
      <c r="A589" s="2" t="s">
        <v>1784</v>
      </c>
      <c r="B589" s="2" t="s">
        <v>1785</v>
      </c>
      <c r="C589" s="2" t="s">
        <v>1786</v>
      </c>
      <c r="D589" s="2" t="s">
        <v>10</v>
      </c>
      <c r="E589" s="2" t="s">
        <v>16</v>
      </c>
      <c r="F589" s="3" t="str">
        <f>HYPERLINK("http://ovidsp.ovid.com/ovidweb.cgi?T=JS&amp;NEWS=n&amp;CSC=Y&amp;PAGE=booktext&amp;D=books&amp;AN=01382506$&amp;XPATH=/PG(0)","http://ovidsp.ovid.com/ovidweb.cgi?T=JS&amp;NEWS=n&amp;CSC=Y&amp;PAGE=booktext&amp;D=books&amp;AN=01382506$&amp;XPATH=/PG(0)")</f>
        <v>http://ovidsp.ovid.com/ovidweb.cgi?T=JS&amp;NEWS=n&amp;CSC=Y&amp;PAGE=booktext&amp;D=books&amp;AN=01382506$&amp;XPATH=/PG(0)</v>
      </c>
      <c r="G589" s="2" t="s">
        <v>12</v>
      </c>
    </row>
    <row r="590" spans="1:7" x14ac:dyDescent="0.15">
      <c r="A590" s="2" t="s">
        <v>1787</v>
      </c>
      <c r="B590" s="2" t="s">
        <v>1788</v>
      </c>
      <c r="C590" s="2" t="s">
        <v>1789</v>
      </c>
      <c r="D590" s="2" t="s">
        <v>10</v>
      </c>
      <c r="E590" s="2" t="s">
        <v>16</v>
      </c>
      <c r="F590" s="3" t="str">
        <f>HYPERLINK("http://ovidsp.ovid.com/ovidweb.cgi?T=JS&amp;NEWS=n&amp;CSC=Y&amp;PAGE=booktext&amp;D=books&amp;AN=01273169$&amp;XPATH=/PG(0)","http://ovidsp.ovid.com/ovidweb.cgi?T=JS&amp;NEWS=n&amp;CSC=Y&amp;PAGE=booktext&amp;D=books&amp;AN=01273169$&amp;XPATH=/PG(0)")</f>
        <v>http://ovidsp.ovid.com/ovidweb.cgi?T=JS&amp;NEWS=n&amp;CSC=Y&amp;PAGE=booktext&amp;D=books&amp;AN=01273169$&amp;XPATH=/PG(0)</v>
      </c>
      <c r="G590" s="2" t="s">
        <v>12</v>
      </c>
    </row>
    <row r="591" spans="1:7" x14ac:dyDescent="0.15">
      <c r="A591" s="2" t="s">
        <v>1790</v>
      </c>
      <c r="B591" s="2" t="s">
        <v>1791</v>
      </c>
      <c r="C591" s="2" t="s">
        <v>1792</v>
      </c>
      <c r="D591" s="2" t="s">
        <v>10</v>
      </c>
      <c r="E591" s="2" t="s">
        <v>16</v>
      </c>
      <c r="F591" s="3" t="str">
        <f>HYPERLINK("http://ovidsp.ovid.com/ovidweb.cgi?T=JS&amp;NEWS=n&amp;CSC=Y&amp;PAGE=booktext&amp;D=books&amp;AN=01382774$&amp;XPATH=/PG(0)","http://ovidsp.ovid.com/ovidweb.cgi?T=JS&amp;NEWS=n&amp;CSC=Y&amp;PAGE=booktext&amp;D=books&amp;AN=01382774$&amp;XPATH=/PG(0)")</f>
        <v>http://ovidsp.ovid.com/ovidweb.cgi?T=JS&amp;NEWS=n&amp;CSC=Y&amp;PAGE=booktext&amp;D=books&amp;AN=01382774$&amp;XPATH=/PG(0)</v>
      </c>
      <c r="G591" s="2" t="s">
        <v>12</v>
      </c>
    </row>
    <row r="592" spans="1:7" x14ac:dyDescent="0.15">
      <c r="A592" s="2" t="s">
        <v>1793</v>
      </c>
      <c r="B592" s="2" t="s">
        <v>1794</v>
      </c>
      <c r="C592" s="2" t="s">
        <v>1795</v>
      </c>
      <c r="D592" s="2" t="s">
        <v>10</v>
      </c>
      <c r="E592" s="2" t="s">
        <v>16</v>
      </c>
      <c r="F592" s="3" t="str">
        <f>HYPERLINK("http://ovidsp.ovid.com/ovidweb.cgi?T=JS&amp;NEWS=n&amp;CSC=Y&amp;PAGE=booktext&amp;D=books&amp;AN=01382775$&amp;XPATH=/PG(0)","http://ovidsp.ovid.com/ovidweb.cgi?T=JS&amp;NEWS=n&amp;CSC=Y&amp;PAGE=booktext&amp;D=books&amp;AN=01382775$&amp;XPATH=/PG(0)")</f>
        <v>http://ovidsp.ovid.com/ovidweb.cgi?T=JS&amp;NEWS=n&amp;CSC=Y&amp;PAGE=booktext&amp;D=books&amp;AN=01382775$&amp;XPATH=/PG(0)</v>
      </c>
      <c r="G592" s="2" t="s">
        <v>12</v>
      </c>
    </row>
    <row r="593" spans="1:7" x14ac:dyDescent="0.15">
      <c r="A593" s="2" t="s">
        <v>1796</v>
      </c>
      <c r="B593" s="2" t="s">
        <v>1797</v>
      </c>
      <c r="C593" s="2" t="s">
        <v>1798</v>
      </c>
      <c r="D593" s="2" t="s">
        <v>10</v>
      </c>
      <c r="E593" s="2" t="s">
        <v>16</v>
      </c>
      <c r="F593" s="3" t="str">
        <f>HYPERLINK("http://ovidsp.ovid.com/ovidweb.cgi?T=JS&amp;NEWS=n&amp;CSC=Y&amp;PAGE=booktext&amp;D=books&amp;AN=01382776$&amp;XPATH=/PG(0)","http://ovidsp.ovid.com/ovidweb.cgi?T=JS&amp;NEWS=n&amp;CSC=Y&amp;PAGE=booktext&amp;D=books&amp;AN=01382776$&amp;XPATH=/PG(0)")</f>
        <v>http://ovidsp.ovid.com/ovidweb.cgi?T=JS&amp;NEWS=n&amp;CSC=Y&amp;PAGE=booktext&amp;D=books&amp;AN=01382776$&amp;XPATH=/PG(0)</v>
      </c>
      <c r="G593" s="2" t="s">
        <v>12</v>
      </c>
    </row>
    <row r="594" spans="1:7" x14ac:dyDescent="0.15">
      <c r="A594" s="2" t="s">
        <v>1799</v>
      </c>
      <c r="B594" s="2" t="s">
        <v>1800</v>
      </c>
      <c r="C594" s="2" t="s">
        <v>1801</v>
      </c>
      <c r="D594" s="2" t="s">
        <v>10</v>
      </c>
      <c r="E594" s="2" t="s">
        <v>16</v>
      </c>
      <c r="F594" s="3" t="str">
        <f>HYPERLINK("http://ovidsp.ovid.com/ovidweb.cgi?T=JS&amp;NEWS=n&amp;CSC=Y&amp;PAGE=booktext&amp;D=books&amp;AN=01382773$&amp;XPATH=/PG(0)","http://ovidsp.ovid.com/ovidweb.cgi?T=JS&amp;NEWS=n&amp;CSC=Y&amp;PAGE=booktext&amp;D=books&amp;AN=01382773$&amp;XPATH=/PG(0)")</f>
        <v>http://ovidsp.ovid.com/ovidweb.cgi?T=JS&amp;NEWS=n&amp;CSC=Y&amp;PAGE=booktext&amp;D=books&amp;AN=01382773$&amp;XPATH=/PG(0)</v>
      </c>
      <c r="G594" s="2" t="s">
        <v>12</v>
      </c>
    </row>
    <row r="595" spans="1:7" x14ac:dyDescent="0.15">
      <c r="A595" s="2" t="s">
        <v>1802</v>
      </c>
      <c r="B595" s="2" t="s">
        <v>1803</v>
      </c>
      <c r="C595" s="2" t="s">
        <v>1804</v>
      </c>
      <c r="D595" s="2" t="s">
        <v>10</v>
      </c>
      <c r="E595" s="2" t="s">
        <v>53</v>
      </c>
      <c r="F595" s="3" t="str">
        <f>HYPERLINK("http://ovidsp.ovid.com/ovidweb.cgi?T=JS&amp;NEWS=n&amp;CSC=Y&amp;PAGE=booktext&amp;D=books&amp;AN=00139971$&amp;XPATH=/PG(0)","http://ovidsp.ovid.com/ovidweb.cgi?T=JS&amp;NEWS=n&amp;CSC=Y&amp;PAGE=booktext&amp;D=books&amp;AN=00139971$&amp;XPATH=/PG(0)")</f>
        <v>http://ovidsp.ovid.com/ovidweb.cgi?T=JS&amp;NEWS=n&amp;CSC=Y&amp;PAGE=booktext&amp;D=books&amp;AN=00139971$&amp;XPATH=/PG(0)</v>
      </c>
      <c r="G595" s="2" t="s">
        <v>12</v>
      </c>
    </row>
    <row r="596" spans="1:7" x14ac:dyDescent="0.15">
      <c r="A596" s="2" t="s">
        <v>1805</v>
      </c>
      <c r="B596" s="2" t="s">
        <v>1806</v>
      </c>
      <c r="C596" s="2" t="s">
        <v>1807</v>
      </c>
      <c r="D596" s="2" t="s">
        <v>10</v>
      </c>
      <c r="E596" s="2" t="s">
        <v>45</v>
      </c>
      <c r="F596" s="3" t="str">
        <f>HYPERLINK("http://ovidsp.ovid.com/ovidweb.cgi?T=JS&amp;NEWS=n&amp;CSC=Y&amp;PAGE=booktext&amp;D=books&amp;AN=01256973$&amp;XPATH=/PG(0)","http://ovidsp.ovid.com/ovidweb.cgi?T=JS&amp;NEWS=n&amp;CSC=Y&amp;PAGE=booktext&amp;D=books&amp;AN=01256973$&amp;XPATH=/PG(0)")</f>
        <v>http://ovidsp.ovid.com/ovidweb.cgi?T=JS&amp;NEWS=n&amp;CSC=Y&amp;PAGE=booktext&amp;D=books&amp;AN=01256973$&amp;XPATH=/PG(0)</v>
      </c>
      <c r="G596" s="2" t="s">
        <v>17</v>
      </c>
    </row>
    <row r="597" spans="1:7" x14ac:dyDescent="0.15">
      <c r="A597" s="2" t="s">
        <v>1808</v>
      </c>
      <c r="B597" s="2" t="s">
        <v>1809</v>
      </c>
      <c r="C597" s="2" t="s">
        <v>1810</v>
      </c>
      <c r="D597" s="2" t="s">
        <v>10</v>
      </c>
      <c r="E597" s="2" t="s">
        <v>45</v>
      </c>
      <c r="F597" s="3" t="str">
        <f>HYPERLINK("http://ovidsp.ovid.com/ovidweb.cgi?T=JS&amp;NEWS=n&amp;CSC=Y&amp;PAGE=booktext&amp;D=books&amp;AN=01382896$&amp;XPATH=/PG(0)","http://ovidsp.ovid.com/ovidweb.cgi?T=JS&amp;NEWS=n&amp;CSC=Y&amp;PAGE=booktext&amp;D=books&amp;AN=01382896$&amp;XPATH=/PG(0)")</f>
        <v>http://ovidsp.ovid.com/ovidweb.cgi?T=JS&amp;NEWS=n&amp;CSC=Y&amp;PAGE=booktext&amp;D=books&amp;AN=01382896$&amp;XPATH=/PG(0)</v>
      </c>
      <c r="G597" s="2" t="s">
        <v>12</v>
      </c>
    </row>
    <row r="598" spans="1:7" x14ac:dyDescent="0.15">
      <c r="A598" s="2" t="s">
        <v>1811</v>
      </c>
      <c r="B598" s="2" t="s">
        <v>1812</v>
      </c>
      <c r="C598" s="2" t="s">
        <v>1813</v>
      </c>
      <c r="D598" s="2" t="s">
        <v>10</v>
      </c>
      <c r="E598" s="2" t="s">
        <v>53</v>
      </c>
      <c r="F598" s="3" t="str">
        <f>HYPERLINK("http://ovidsp.ovid.com/ovidweb.cgi?T=JS&amp;NEWS=n&amp;CSC=Y&amp;PAGE=booktext&amp;D=books&amp;AN=01382489$&amp;XPATH=/PG(0)","http://ovidsp.ovid.com/ovidweb.cgi?T=JS&amp;NEWS=n&amp;CSC=Y&amp;PAGE=booktext&amp;D=books&amp;AN=01382489$&amp;XPATH=/PG(0)")</f>
        <v>http://ovidsp.ovid.com/ovidweb.cgi?T=JS&amp;NEWS=n&amp;CSC=Y&amp;PAGE=booktext&amp;D=books&amp;AN=01382489$&amp;XPATH=/PG(0)</v>
      </c>
      <c r="G598" s="2" t="s">
        <v>17</v>
      </c>
    </row>
    <row r="599" spans="1:7" x14ac:dyDescent="0.15">
      <c r="A599" s="2" t="s">
        <v>1814</v>
      </c>
      <c r="B599" s="2" t="s">
        <v>1815</v>
      </c>
      <c r="C599" s="2" t="s">
        <v>1816</v>
      </c>
      <c r="D599" s="2" t="s">
        <v>10</v>
      </c>
      <c r="E599" s="2" t="s">
        <v>95</v>
      </c>
      <c r="F599" s="3" t="str">
        <f>HYPERLINK("http://ovidsp.ovid.com/ovidweb.cgi?T=JS&amp;NEWS=n&amp;CSC=Y&amp;PAGE=booktext&amp;D=books&amp;AN=01382626$&amp;XPATH=/PG(0)","http://ovidsp.ovid.com/ovidweb.cgi?T=JS&amp;NEWS=n&amp;CSC=Y&amp;PAGE=booktext&amp;D=books&amp;AN=01382626$&amp;XPATH=/PG(0)")</f>
        <v>http://ovidsp.ovid.com/ovidweb.cgi?T=JS&amp;NEWS=n&amp;CSC=Y&amp;PAGE=booktext&amp;D=books&amp;AN=01382626$&amp;XPATH=/PG(0)</v>
      </c>
      <c r="G599" s="2" t="s">
        <v>17</v>
      </c>
    </row>
    <row r="600" spans="1:7" x14ac:dyDescent="0.15">
      <c r="A600" s="2" t="s">
        <v>1817</v>
      </c>
      <c r="B600" s="2" t="s">
        <v>1818</v>
      </c>
      <c r="C600" s="2" t="s">
        <v>1819</v>
      </c>
      <c r="D600" s="2" t="s">
        <v>10</v>
      </c>
      <c r="E600" s="2" t="s">
        <v>251</v>
      </c>
      <c r="F600" s="3" t="str">
        <f>HYPERLINK("http://ovidsp.ovid.com/ovidweb.cgi?T=JS&amp;NEWS=n&amp;CSC=Y&amp;PAGE=booktext&amp;D=books&amp;AN=01260173$&amp;XPATH=/PG(0)","http://ovidsp.ovid.com/ovidweb.cgi?T=JS&amp;NEWS=n&amp;CSC=Y&amp;PAGE=booktext&amp;D=books&amp;AN=01260173$&amp;XPATH=/PG(0)")</f>
        <v>http://ovidsp.ovid.com/ovidweb.cgi?T=JS&amp;NEWS=n&amp;CSC=Y&amp;PAGE=booktext&amp;D=books&amp;AN=01260173$&amp;XPATH=/PG(0)</v>
      </c>
      <c r="G600" s="2" t="s">
        <v>17</v>
      </c>
    </row>
    <row r="601" spans="1:7" x14ac:dyDescent="0.15">
      <c r="A601" s="2" t="s">
        <v>1820</v>
      </c>
      <c r="B601" s="2" t="s">
        <v>1821</v>
      </c>
      <c r="C601" s="2" t="s">
        <v>1822</v>
      </c>
      <c r="D601" s="2" t="s">
        <v>10</v>
      </c>
      <c r="E601" s="2" t="s">
        <v>95</v>
      </c>
      <c r="F601" s="3" t="str">
        <f>HYPERLINK("http://ovidsp.ovid.com/ovidweb.cgi?T=JS&amp;NEWS=n&amp;CSC=Y&amp;PAGE=booktext&amp;D=books&amp;AN=01260174$&amp;XPATH=/PG(0)","http://ovidsp.ovid.com/ovidweb.cgi?T=JS&amp;NEWS=n&amp;CSC=Y&amp;PAGE=booktext&amp;D=books&amp;AN=01260174$&amp;XPATH=/PG(0)")</f>
        <v>http://ovidsp.ovid.com/ovidweb.cgi?T=JS&amp;NEWS=n&amp;CSC=Y&amp;PAGE=booktext&amp;D=books&amp;AN=01260174$&amp;XPATH=/PG(0)</v>
      </c>
      <c r="G601" s="2" t="s">
        <v>17</v>
      </c>
    </row>
    <row r="602" spans="1:7" x14ac:dyDescent="0.15">
      <c r="A602" s="2" t="s">
        <v>1823</v>
      </c>
      <c r="B602" s="2" t="s">
        <v>1824</v>
      </c>
      <c r="C602" s="2" t="s">
        <v>1825</v>
      </c>
      <c r="D602" s="2" t="s">
        <v>10</v>
      </c>
      <c r="E602" s="2" t="s">
        <v>45</v>
      </c>
      <c r="F602" s="3" t="str">
        <f>HYPERLINK("http://ovidsp.ovid.com/ovidweb.cgi?T=JS&amp;NEWS=n&amp;CSC=Y&amp;PAGE=booktext&amp;D=books&amp;AN=01382627$&amp;XPATH=/PG(0)","http://ovidsp.ovid.com/ovidweb.cgi?T=JS&amp;NEWS=n&amp;CSC=Y&amp;PAGE=booktext&amp;D=books&amp;AN=01382627$&amp;XPATH=/PG(0)")</f>
        <v>http://ovidsp.ovid.com/ovidweb.cgi?T=JS&amp;NEWS=n&amp;CSC=Y&amp;PAGE=booktext&amp;D=books&amp;AN=01382627$&amp;XPATH=/PG(0)</v>
      </c>
      <c r="G602" s="2" t="s">
        <v>17</v>
      </c>
    </row>
    <row r="603" spans="1:7" x14ac:dyDescent="0.15">
      <c r="A603" s="2" t="s">
        <v>1826</v>
      </c>
      <c r="B603" s="2" t="s">
        <v>1827</v>
      </c>
      <c r="C603" s="2" t="s">
        <v>1828</v>
      </c>
      <c r="D603" s="2" t="s">
        <v>10</v>
      </c>
      <c r="E603" s="2" t="s">
        <v>16</v>
      </c>
      <c r="F603" s="3" t="str">
        <f>HYPERLINK("http://ovidsp.ovid.com/ovidweb.cgi?T=JS&amp;NEWS=n&amp;CSC=Y&amp;PAGE=booktext&amp;D=books&amp;AN=01382628$&amp;XPATH=/PG(0)","http://ovidsp.ovid.com/ovidweb.cgi?T=JS&amp;NEWS=n&amp;CSC=Y&amp;PAGE=booktext&amp;D=books&amp;AN=01382628$&amp;XPATH=/PG(0)")</f>
        <v>http://ovidsp.ovid.com/ovidweb.cgi?T=JS&amp;NEWS=n&amp;CSC=Y&amp;PAGE=booktext&amp;D=books&amp;AN=01382628$&amp;XPATH=/PG(0)</v>
      </c>
      <c r="G603" s="2" t="s">
        <v>17</v>
      </c>
    </row>
    <row r="604" spans="1:7" x14ac:dyDescent="0.15">
      <c r="A604" s="2" t="s">
        <v>1829</v>
      </c>
      <c r="B604" s="2" t="s">
        <v>1830</v>
      </c>
      <c r="C604" s="2" t="s">
        <v>1831</v>
      </c>
      <c r="D604" s="2" t="s">
        <v>10</v>
      </c>
      <c r="E604" s="2" t="s">
        <v>251</v>
      </c>
      <c r="F604" s="3" t="str">
        <f>HYPERLINK("http://ovidsp.ovid.com/ovidweb.cgi?T=JS&amp;NEWS=n&amp;CSC=Y&amp;PAGE=booktext&amp;D=books&amp;AN=01279710$&amp;XPATH=/PG(0)","http://ovidsp.ovid.com/ovidweb.cgi?T=JS&amp;NEWS=n&amp;CSC=Y&amp;PAGE=booktext&amp;D=books&amp;AN=01279710$&amp;XPATH=/PG(0)")</f>
        <v>http://ovidsp.ovid.com/ovidweb.cgi?T=JS&amp;NEWS=n&amp;CSC=Y&amp;PAGE=booktext&amp;D=books&amp;AN=01279710$&amp;XPATH=/PG(0)</v>
      </c>
      <c r="G604" s="2" t="s">
        <v>17</v>
      </c>
    </row>
    <row r="605" spans="1:7" x14ac:dyDescent="0.15">
      <c r="A605" s="2" t="s">
        <v>1832</v>
      </c>
      <c r="B605" s="2" t="s">
        <v>1833</v>
      </c>
      <c r="C605" s="2" t="s">
        <v>1834</v>
      </c>
      <c r="D605" s="2" t="s">
        <v>10</v>
      </c>
      <c r="E605" s="2" t="s">
        <v>53</v>
      </c>
      <c r="F605" s="3" t="str">
        <f>HYPERLINK("http://ovidsp.ovid.com/ovidweb.cgi?T=JS&amp;NEWS=n&amp;CSC=Y&amp;PAGE=booktext&amp;D=books&amp;AN=01279769$&amp;XPATH=/PG(0)","http://ovidsp.ovid.com/ovidweb.cgi?T=JS&amp;NEWS=n&amp;CSC=Y&amp;PAGE=booktext&amp;D=books&amp;AN=01279769$&amp;XPATH=/PG(0)")</f>
        <v>http://ovidsp.ovid.com/ovidweb.cgi?T=JS&amp;NEWS=n&amp;CSC=Y&amp;PAGE=booktext&amp;D=books&amp;AN=01279769$&amp;XPATH=/PG(0)</v>
      </c>
      <c r="G605" s="2" t="s">
        <v>17</v>
      </c>
    </row>
    <row r="606" spans="1:7" x14ac:dyDescent="0.15">
      <c r="A606" s="2" t="s">
        <v>1835</v>
      </c>
      <c r="B606" s="2" t="s">
        <v>1836</v>
      </c>
      <c r="C606" s="2" t="s">
        <v>1837</v>
      </c>
      <c r="D606" s="2" t="s">
        <v>10</v>
      </c>
      <c r="E606" s="2" t="s">
        <v>95</v>
      </c>
      <c r="F606" s="3" t="str">
        <f>HYPERLINK("http://ovidsp.ovid.com/ovidweb.cgi?T=JS&amp;NEWS=n&amp;CSC=Y&amp;PAGE=booktext&amp;D=books&amp;AN=01337295$&amp;XPATH=/PG(0)","http://ovidsp.ovid.com/ovidweb.cgi?T=JS&amp;NEWS=n&amp;CSC=Y&amp;PAGE=booktext&amp;D=books&amp;AN=01337295$&amp;XPATH=/PG(0)")</f>
        <v>http://ovidsp.ovid.com/ovidweb.cgi?T=JS&amp;NEWS=n&amp;CSC=Y&amp;PAGE=booktext&amp;D=books&amp;AN=01337295$&amp;XPATH=/PG(0)</v>
      </c>
      <c r="G606" s="2" t="s">
        <v>17</v>
      </c>
    </row>
    <row r="607" spans="1:7" x14ac:dyDescent="0.15">
      <c r="A607" s="2" t="s">
        <v>1838</v>
      </c>
      <c r="B607" s="2" t="s">
        <v>1839</v>
      </c>
      <c r="C607" s="2" t="s">
        <v>1840</v>
      </c>
      <c r="D607" s="2" t="s">
        <v>10</v>
      </c>
      <c r="E607" s="2" t="s">
        <v>95</v>
      </c>
      <c r="F607" s="3" t="str">
        <f>HYPERLINK("http://ovidsp.ovid.com/ovidweb.cgi?T=JS&amp;NEWS=n&amp;CSC=Y&amp;PAGE=booktext&amp;D=books&amp;AN=01382629$&amp;XPATH=/PG(0)","http://ovidsp.ovid.com/ovidweb.cgi?T=JS&amp;NEWS=n&amp;CSC=Y&amp;PAGE=booktext&amp;D=books&amp;AN=01382629$&amp;XPATH=/PG(0)")</f>
        <v>http://ovidsp.ovid.com/ovidweb.cgi?T=JS&amp;NEWS=n&amp;CSC=Y&amp;PAGE=booktext&amp;D=books&amp;AN=01382629$&amp;XPATH=/PG(0)</v>
      </c>
      <c r="G607" s="2" t="s">
        <v>17</v>
      </c>
    </row>
    <row r="608" spans="1:7" x14ac:dyDescent="0.15">
      <c r="A608" s="2" t="s">
        <v>1841</v>
      </c>
      <c r="B608" s="2" t="s">
        <v>1842</v>
      </c>
      <c r="C608" s="2" t="s">
        <v>31</v>
      </c>
      <c r="D608" s="2" t="s">
        <v>10</v>
      </c>
      <c r="E608" s="2" t="s">
        <v>16</v>
      </c>
      <c r="F608" s="3" t="str">
        <f>HYPERLINK("http://ovidsp.ovid.com/ovidweb.cgi?T=JS&amp;NEWS=n&amp;CSC=Y&amp;PAGE=booktext&amp;D=books&amp;AN=01279755$&amp;XPATH=/PG(0)","http://ovidsp.ovid.com/ovidweb.cgi?T=JS&amp;NEWS=n&amp;CSC=Y&amp;PAGE=booktext&amp;D=books&amp;AN=01279755$&amp;XPATH=/PG(0)")</f>
        <v>http://ovidsp.ovid.com/ovidweb.cgi?T=JS&amp;NEWS=n&amp;CSC=Y&amp;PAGE=booktext&amp;D=books&amp;AN=01279755$&amp;XPATH=/PG(0)</v>
      </c>
      <c r="G608" s="2" t="s">
        <v>17</v>
      </c>
    </row>
    <row r="609" spans="1:7" x14ac:dyDescent="0.15">
      <c r="A609" s="2" t="s">
        <v>1843</v>
      </c>
      <c r="B609" s="2" t="s">
        <v>1844</v>
      </c>
      <c r="C609" s="2" t="s">
        <v>1845</v>
      </c>
      <c r="D609" s="2" t="s">
        <v>10</v>
      </c>
      <c r="E609" s="2" t="s">
        <v>49</v>
      </c>
      <c r="F609" s="3" t="str">
        <f>HYPERLINK("http://ovidsp.ovid.com/ovidweb.cgi?T=JS&amp;NEWS=n&amp;CSC=Y&amp;PAGE=booktext&amp;D=books&amp;AN=01223027$&amp;XPATH=/PG(0)","http://ovidsp.ovid.com/ovidweb.cgi?T=JS&amp;NEWS=n&amp;CSC=Y&amp;PAGE=booktext&amp;D=books&amp;AN=01223027$&amp;XPATH=/PG(0)")</f>
        <v>http://ovidsp.ovid.com/ovidweb.cgi?T=JS&amp;NEWS=n&amp;CSC=Y&amp;PAGE=booktext&amp;D=books&amp;AN=01223027$&amp;XPATH=/PG(0)</v>
      </c>
      <c r="G609" s="2" t="s">
        <v>17</v>
      </c>
    </row>
    <row r="610" spans="1:7" x14ac:dyDescent="0.15">
      <c r="A610" s="2" t="s">
        <v>1846</v>
      </c>
      <c r="B610" s="2" t="s">
        <v>1847</v>
      </c>
      <c r="C610" s="2" t="s">
        <v>1848</v>
      </c>
      <c r="D610" s="2" t="s">
        <v>10</v>
      </c>
      <c r="E610" s="2" t="s">
        <v>16</v>
      </c>
      <c r="F610" s="3" t="str">
        <f>HYPERLINK("http://ovidsp.ovid.com/ovidweb.cgi?T=JS&amp;NEWS=n&amp;CSC=Y&amp;PAGE=booktext&amp;D=books&amp;AN=01279712$&amp;XPATH=/PG(0)","http://ovidsp.ovid.com/ovidweb.cgi?T=JS&amp;NEWS=n&amp;CSC=Y&amp;PAGE=booktext&amp;D=books&amp;AN=01279712$&amp;XPATH=/PG(0)")</f>
        <v>http://ovidsp.ovid.com/ovidweb.cgi?T=JS&amp;NEWS=n&amp;CSC=Y&amp;PAGE=booktext&amp;D=books&amp;AN=01279712$&amp;XPATH=/PG(0)</v>
      </c>
      <c r="G610" s="2" t="s">
        <v>17</v>
      </c>
    </row>
    <row r="611" spans="1:7" x14ac:dyDescent="0.15">
      <c r="A611" s="2" t="s">
        <v>1849</v>
      </c>
      <c r="B611" s="2" t="s">
        <v>1850</v>
      </c>
      <c r="C611" s="2" t="s">
        <v>1851</v>
      </c>
      <c r="D611" s="2" t="s">
        <v>10</v>
      </c>
      <c r="E611" s="2" t="s">
        <v>49</v>
      </c>
      <c r="F611" s="3" t="str">
        <f>HYPERLINK("http://ovidsp.ovid.com/ovidweb.cgi?T=JS&amp;NEWS=n&amp;CSC=Y&amp;PAGE=booktext&amp;D=books&amp;AN=00140040$&amp;XPATH=/PG(0)","http://ovidsp.ovid.com/ovidweb.cgi?T=JS&amp;NEWS=n&amp;CSC=Y&amp;PAGE=booktext&amp;D=books&amp;AN=00140040$&amp;XPATH=/PG(0)")</f>
        <v>http://ovidsp.ovid.com/ovidweb.cgi?T=JS&amp;NEWS=n&amp;CSC=Y&amp;PAGE=booktext&amp;D=books&amp;AN=00140040$&amp;XPATH=/PG(0)</v>
      </c>
      <c r="G611" s="2" t="s">
        <v>17</v>
      </c>
    </row>
    <row r="612" spans="1:7" x14ac:dyDescent="0.15">
      <c r="A612" s="2" t="s">
        <v>1852</v>
      </c>
      <c r="B612" s="2" t="s">
        <v>1853</v>
      </c>
      <c r="C612" s="2" t="s">
        <v>1854</v>
      </c>
      <c r="D612" s="2" t="s">
        <v>10</v>
      </c>
      <c r="E612" s="2" t="s">
        <v>49</v>
      </c>
      <c r="F612" s="3" t="str">
        <f>HYPERLINK("http://ovidsp.ovid.com/ovidweb.cgi?T=JS&amp;NEWS=n&amp;CSC=Y&amp;PAGE=booktext&amp;D=books&amp;AN=01279756$&amp;XPATH=/PG(0)","http://ovidsp.ovid.com/ovidweb.cgi?T=JS&amp;NEWS=n&amp;CSC=Y&amp;PAGE=booktext&amp;D=books&amp;AN=01279756$&amp;XPATH=/PG(0)")</f>
        <v>http://ovidsp.ovid.com/ovidweb.cgi?T=JS&amp;NEWS=n&amp;CSC=Y&amp;PAGE=booktext&amp;D=books&amp;AN=01279756$&amp;XPATH=/PG(0)</v>
      </c>
      <c r="G612" s="2" t="s">
        <v>17</v>
      </c>
    </row>
    <row r="613" spans="1:7" x14ac:dyDescent="0.15">
      <c r="A613" s="2" t="s">
        <v>1855</v>
      </c>
      <c r="B613" s="2" t="s">
        <v>1856</v>
      </c>
      <c r="C613" s="2" t="s">
        <v>1857</v>
      </c>
      <c r="D613" s="2" t="s">
        <v>10</v>
      </c>
      <c r="E613" s="2" t="s">
        <v>16</v>
      </c>
      <c r="F613" s="3" t="str">
        <f>HYPERLINK("http://ovidsp.ovid.com/ovidweb.cgi?T=JS&amp;NEWS=n&amp;CSC=Y&amp;PAGE=booktext&amp;D=books&amp;AN=01279713$&amp;XPATH=/PG(0)","http://ovidsp.ovid.com/ovidweb.cgi?T=JS&amp;NEWS=n&amp;CSC=Y&amp;PAGE=booktext&amp;D=books&amp;AN=01279713$&amp;XPATH=/PG(0)")</f>
        <v>http://ovidsp.ovid.com/ovidweb.cgi?T=JS&amp;NEWS=n&amp;CSC=Y&amp;PAGE=booktext&amp;D=books&amp;AN=01279713$&amp;XPATH=/PG(0)</v>
      </c>
      <c r="G613" s="2" t="s">
        <v>17</v>
      </c>
    </row>
    <row r="614" spans="1:7" x14ac:dyDescent="0.15">
      <c r="A614" s="2" t="s">
        <v>1858</v>
      </c>
      <c r="B614" s="2" t="s">
        <v>1859</v>
      </c>
      <c r="C614" s="2" t="s">
        <v>1860</v>
      </c>
      <c r="D614" s="2" t="s">
        <v>10</v>
      </c>
      <c r="E614" s="2" t="s">
        <v>235</v>
      </c>
      <c r="F614" s="3" t="str">
        <f>HYPERLINK("http://ovidsp.ovid.com/ovidweb.cgi?T=JS&amp;NEWS=n&amp;CSC=Y&amp;PAGE=booktext&amp;D=books&amp;AN=01382632$&amp;XPATH=/PG(0)","http://ovidsp.ovid.com/ovidweb.cgi?T=JS&amp;NEWS=n&amp;CSC=Y&amp;PAGE=booktext&amp;D=books&amp;AN=01382632$&amp;XPATH=/PG(0)")</f>
        <v>http://ovidsp.ovid.com/ovidweb.cgi?T=JS&amp;NEWS=n&amp;CSC=Y&amp;PAGE=booktext&amp;D=books&amp;AN=01382632$&amp;XPATH=/PG(0)</v>
      </c>
      <c r="G614" s="2" t="s">
        <v>17</v>
      </c>
    </row>
    <row r="615" spans="1:7" x14ac:dyDescent="0.15">
      <c r="A615" s="2" t="s">
        <v>1861</v>
      </c>
      <c r="B615" s="2" t="s">
        <v>1862</v>
      </c>
      <c r="C615" s="2" t="s">
        <v>1863</v>
      </c>
      <c r="D615" s="2" t="s">
        <v>10</v>
      </c>
      <c r="E615" s="2" t="s">
        <v>45</v>
      </c>
      <c r="F615" s="3" t="str">
        <f>HYPERLINK("http://ovidsp.ovid.com/ovidweb.cgi?T=JS&amp;NEWS=n&amp;CSC=Y&amp;PAGE=booktext&amp;D=books&amp;AN=00139973$&amp;XPATH=/PG(0)","http://ovidsp.ovid.com/ovidweb.cgi?T=JS&amp;NEWS=n&amp;CSC=Y&amp;PAGE=booktext&amp;D=books&amp;AN=00139973$&amp;XPATH=/PG(0)")</f>
        <v>http://ovidsp.ovid.com/ovidweb.cgi?T=JS&amp;NEWS=n&amp;CSC=Y&amp;PAGE=booktext&amp;D=books&amp;AN=00139973$&amp;XPATH=/PG(0)</v>
      </c>
      <c r="G615" s="2" t="s">
        <v>12</v>
      </c>
    </row>
    <row r="616" spans="1:7" x14ac:dyDescent="0.15">
      <c r="A616" s="2" t="s">
        <v>1864</v>
      </c>
      <c r="B616" s="2" t="s">
        <v>1865</v>
      </c>
      <c r="C616" s="2" t="s">
        <v>1866</v>
      </c>
      <c r="D616" s="2" t="s">
        <v>10</v>
      </c>
      <c r="E616" s="2" t="s">
        <v>16</v>
      </c>
      <c r="F616" s="3" t="str">
        <f>HYPERLINK("http://ovidsp.ovid.com/ovidweb.cgi?T=JS&amp;NEWS=n&amp;CSC=Y&amp;PAGE=booktext&amp;D=books&amp;AN=01382576$&amp;XPATH=/PG(0)","http://ovidsp.ovid.com/ovidweb.cgi?T=JS&amp;NEWS=n&amp;CSC=Y&amp;PAGE=booktext&amp;D=books&amp;AN=01382576$&amp;XPATH=/PG(0)")</f>
        <v>http://ovidsp.ovid.com/ovidweb.cgi?T=JS&amp;NEWS=n&amp;CSC=Y&amp;PAGE=booktext&amp;D=books&amp;AN=01382576$&amp;XPATH=/PG(0)</v>
      </c>
      <c r="G616" s="2" t="s">
        <v>12</v>
      </c>
    </row>
    <row r="617" spans="1:7" x14ac:dyDescent="0.15">
      <c r="A617" s="2" t="s">
        <v>1867</v>
      </c>
      <c r="B617" s="2" t="s">
        <v>1868</v>
      </c>
      <c r="C617" s="2" t="s">
        <v>1869</v>
      </c>
      <c r="D617" s="2" t="s">
        <v>10</v>
      </c>
      <c r="E617" s="2" t="s">
        <v>45</v>
      </c>
      <c r="F617" s="3" t="str">
        <f>HYPERLINK("http://ovidsp.ovid.com/ovidweb.cgi?T=JS&amp;NEWS=n&amp;CSC=Y&amp;PAGE=booktext&amp;D=books&amp;AN=00149809$&amp;XPATH=/PG(0)","http://ovidsp.ovid.com/ovidweb.cgi?T=JS&amp;NEWS=n&amp;CSC=Y&amp;PAGE=booktext&amp;D=books&amp;AN=00149809$&amp;XPATH=/PG(0)")</f>
        <v>http://ovidsp.ovid.com/ovidweb.cgi?T=JS&amp;NEWS=n&amp;CSC=Y&amp;PAGE=booktext&amp;D=books&amp;AN=00149809$&amp;XPATH=/PG(0)</v>
      </c>
      <c r="G617" s="2" t="s">
        <v>17</v>
      </c>
    </row>
    <row r="618" spans="1:7" x14ac:dyDescent="0.15">
      <c r="A618" s="2" t="s">
        <v>1870</v>
      </c>
      <c r="B618" s="2" t="s">
        <v>1871</v>
      </c>
      <c r="C618" s="2" t="s">
        <v>1872</v>
      </c>
      <c r="D618" s="2" t="s">
        <v>10</v>
      </c>
      <c r="E618" s="2" t="s">
        <v>16</v>
      </c>
      <c r="F618" s="3" t="str">
        <f>HYPERLINK("http://ovidsp.ovid.com/ovidweb.cgi?T=JS&amp;NEWS=n&amp;CSC=Y&amp;PAGE=booktext&amp;D=books&amp;AN=01382699$&amp;XPATH=/PG(0)","http://ovidsp.ovid.com/ovidweb.cgi?T=JS&amp;NEWS=n&amp;CSC=Y&amp;PAGE=booktext&amp;D=books&amp;AN=01382699$&amp;XPATH=/PG(0)")</f>
        <v>http://ovidsp.ovid.com/ovidweb.cgi?T=JS&amp;NEWS=n&amp;CSC=Y&amp;PAGE=booktext&amp;D=books&amp;AN=01382699$&amp;XPATH=/PG(0)</v>
      </c>
      <c r="G618" s="2" t="s">
        <v>17</v>
      </c>
    </row>
    <row r="619" spans="1:7" x14ac:dyDescent="0.15">
      <c r="A619" s="2" t="s">
        <v>1873</v>
      </c>
      <c r="B619" s="2" t="s">
        <v>1874</v>
      </c>
      <c r="C619" s="2" t="s">
        <v>1875</v>
      </c>
      <c r="D619" s="2" t="s">
        <v>10</v>
      </c>
      <c r="E619" s="2" t="s">
        <v>53</v>
      </c>
      <c r="F619" s="3" t="str">
        <f>HYPERLINK("http://ovidsp.ovid.com/ovidweb.cgi?T=JS&amp;NEWS=n&amp;CSC=Y&amp;PAGE=booktext&amp;D=books&amp;AN=01257029$&amp;XPATH=/PG(0)","http://ovidsp.ovid.com/ovidweb.cgi?T=JS&amp;NEWS=n&amp;CSC=Y&amp;PAGE=booktext&amp;D=books&amp;AN=01257029$&amp;XPATH=/PG(0)")</f>
        <v>http://ovidsp.ovid.com/ovidweb.cgi?T=JS&amp;NEWS=n&amp;CSC=Y&amp;PAGE=booktext&amp;D=books&amp;AN=01257029$&amp;XPATH=/PG(0)</v>
      </c>
      <c r="G619" s="2" t="s">
        <v>17</v>
      </c>
    </row>
    <row r="620" spans="1:7" x14ac:dyDescent="0.15">
      <c r="A620" s="2" t="s">
        <v>1876</v>
      </c>
      <c r="B620" s="2" t="s">
        <v>1877</v>
      </c>
      <c r="C620" s="2" t="s">
        <v>1878</v>
      </c>
      <c r="D620" s="2" t="s">
        <v>10</v>
      </c>
      <c r="E620" s="2" t="s">
        <v>49</v>
      </c>
      <c r="F620" s="3" t="str">
        <f>HYPERLINK("http://ovidsp.ovid.com/ovidweb.cgi?T=JS&amp;NEWS=n&amp;CSC=Y&amp;PAGE=booktext&amp;D=books&amp;AN=01376504$&amp;XPATH=/PG(0)","http://ovidsp.ovid.com/ovidweb.cgi?T=JS&amp;NEWS=n&amp;CSC=Y&amp;PAGE=booktext&amp;D=books&amp;AN=01376504$&amp;XPATH=/PG(0)")</f>
        <v>http://ovidsp.ovid.com/ovidweb.cgi?T=JS&amp;NEWS=n&amp;CSC=Y&amp;PAGE=booktext&amp;D=books&amp;AN=01376504$&amp;XPATH=/PG(0)</v>
      </c>
      <c r="G620" s="2" t="s">
        <v>12</v>
      </c>
    </row>
    <row r="621" spans="1:7" x14ac:dyDescent="0.15">
      <c r="A621" s="2" t="s">
        <v>1879</v>
      </c>
      <c r="B621" s="2" t="s">
        <v>1880</v>
      </c>
      <c r="C621" s="2" t="s">
        <v>1881</v>
      </c>
      <c r="D621" s="2" t="s">
        <v>10</v>
      </c>
      <c r="E621" s="2" t="s">
        <v>16</v>
      </c>
      <c r="F621" s="3" t="str">
        <f>HYPERLINK("http://ovidsp.ovid.com/ovidweb.cgi?T=JS&amp;NEWS=n&amp;CSC=Y&amp;PAGE=booktext&amp;D=books&amp;AN=01382777$&amp;XPATH=/PG(0)","http://ovidsp.ovid.com/ovidweb.cgi?T=JS&amp;NEWS=n&amp;CSC=Y&amp;PAGE=booktext&amp;D=books&amp;AN=01382777$&amp;XPATH=/PG(0)")</f>
        <v>http://ovidsp.ovid.com/ovidweb.cgi?T=JS&amp;NEWS=n&amp;CSC=Y&amp;PAGE=booktext&amp;D=books&amp;AN=01382777$&amp;XPATH=/PG(0)</v>
      </c>
      <c r="G621" s="2" t="s">
        <v>12</v>
      </c>
    </row>
    <row r="622" spans="1:7" x14ac:dyDescent="0.15">
      <c r="A622" s="2" t="s">
        <v>1882</v>
      </c>
      <c r="B622" s="2" t="s">
        <v>1883</v>
      </c>
      <c r="C622" s="2" t="s">
        <v>1884</v>
      </c>
      <c r="D622" s="2" t="s">
        <v>10</v>
      </c>
      <c r="E622" s="2" t="s">
        <v>16</v>
      </c>
      <c r="F622" s="3" t="str">
        <f>HYPERLINK("http://ovidsp.ovid.com/ovidweb.cgi?T=JS&amp;NEWS=n&amp;CSC=Y&amp;PAGE=booktext&amp;D=books&amp;AN=01382835$&amp;XPATH=/PG(0)","http://ovidsp.ovid.com/ovidweb.cgi?T=JS&amp;NEWS=n&amp;CSC=Y&amp;PAGE=booktext&amp;D=books&amp;AN=01382835$&amp;XPATH=/PG(0)")</f>
        <v>http://ovidsp.ovid.com/ovidweb.cgi?T=JS&amp;NEWS=n&amp;CSC=Y&amp;PAGE=booktext&amp;D=books&amp;AN=01382835$&amp;XPATH=/PG(0)</v>
      </c>
      <c r="G622" s="2" t="s">
        <v>12</v>
      </c>
    </row>
    <row r="623" spans="1:7" x14ac:dyDescent="0.15">
      <c r="A623" s="2" t="s">
        <v>1885</v>
      </c>
      <c r="B623" s="2" t="s">
        <v>1886</v>
      </c>
      <c r="C623" s="2" t="s">
        <v>1887</v>
      </c>
      <c r="D623" s="2" t="s">
        <v>10</v>
      </c>
      <c r="E623" s="2" t="s">
        <v>16</v>
      </c>
      <c r="F623" s="3" t="str">
        <f>HYPERLINK("http://ovidsp.ovid.com/ovidweb.cgi?T=JS&amp;NEWS=n&amp;CSC=Y&amp;PAGE=booktext&amp;D=books&amp;AN=01382856$&amp;XPATH=/PG(0)","http://ovidsp.ovid.com/ovidweb.cgi?T=JS&amp;NEWS=n&amp;CSC=Y&amp;PAGE=booktext&amp;D=books&amp;AN=01382856$&amp;XPATH=/PG(0)")</f>
        <v>http://ovidsp.ovid.com/ovidweb.cgi?T=JS&amp;NEWS=n&amp;CSC=Y&amp;PAGE=booktext&amp;D=books&amp;AN=01382856$&amp;XPATH=/PG(0)</v>
      </c>
      <c r="G623" s="2" t="s">
        <v>12</v>
      </c>
    </row>
    <row r="624" spans="1:7" x14ac:dyDescent="0.15">
      <c r="A624" s="2" t="s">
        <v>1888</v>
      </c>
      <c r="B624" s="2" t="s">
        <v>1889</v>
      </c>
      <c r="C624" s="2" t="s">
        <v>1890</v>
      </c>
      <c r="D624" s="2" t="s">
        <v>10</v>
      </c>
      <c r="E624" s="2" t="s">
        <v>235</v>
      </c>
      <c r="F624" s="3" t="str">
        <f>HYPERLINK("http://ovidsp.ovid.com/ovidweb.cgi?T=JS&amp;NEWS=n&amp;CSC=Y&amp;PAGE=booktext&amp;D=books&amp;AN=00139979$&amp;XPATH=/PG(0)","http://ovidsp.ovid.com/ovidweb.cgi?T=JS&amp;NEWS=n&amp;CSC=Y&amp;PAGE=booktext&amp;D=books&amp;AN=00139979$&amp;XPATH=/PG(0)")</f>
        <v>http://ovidsp.ovid.com/ovidweb.cgi?T=JS&amp;NEWS=n&amp;CSC=Y&amp;PAGE=booktext&amp;D=books&amp;AN=00139979$&amp;XPATH=/PG(0)</v>
      </c>
      <c r="G624" s="2" t="s">
        <v>12</v>
      </c>
    </row>
    <row r="625" spans="1:7" x14ac:dyDescent="0.15">
      <c r="A625" s="2" t="s">
        <v>1891</v>
      </c>
      <c r="B625" s="2" t="s">
        <v>1892</v>
      </c>
      <c r="C625" s="2" t="s">
        <v>1893</v>
      </c>
      <c r="D625" s="2" t="s">
        <v>10</v>
      </c>
      <c r="E625" s="2" t="s">
        <v>251</v>
      </c>
      <c r="F625" s="3" t="str">
        <f>HYPERLINK("http://ovidsp.ovid.com/ovidweb.cgi?T=JS&amp;NEWS=n&amp;CSC=Y&amp;PAGE=booktext&amp;D=books&amp;AN=00140046$&amp;XPATH=/PG(0)","http://ovidsp.ovid.com/ovidweb.cgi?T=JS&amp;NEWS=n&amp;CSC=Y&amp;PAGE=booktext&amp;D=books&amp;AN=00140046$&amp;XPATH=/PG(0)")</f>
        <v>http://ovidsp.ovid.com/ovidweb.cgi?T=JS&amp;NEWS=n&amp;CSC=Y&amp;PAGE=booktext&amp;D=books&amp;AN=00140046$&amp;XPATH=/PG(0)</v>
      </c>
      <c r="G625" s="2" t="s">
        <v>17</v>
      </c>
    </row>
    <row r="626" spans="1:7" x14ac:dyDescent="0.15">
      <c r="A626" s="2" t="s">
        <v>1894</v>
      </c>
      <c r="B626" s="2" t="s">
        <v>1895</v>
      </c>
      <c r="C626" s="2" t="s">
        <v>1896</v>
      </c>
      <c r="D626" s="2" t="s">
        <v>10</v>
      </c>
      <c r="E626" s="2" t="s">
        <v>45</v>
      </c>
      <c r="F626" s="3" t="str">
        <f>HYPERLINK("http://ovidsp.ovid.com/ovidweb.cgi?T=JS&amp;NEWS=n&amp;CSC=Y&amp;PAGE=booktext&amp;D=books&amp;AN=00139980$&amp;XPATH=/PG(0)","http://ovidsp.ovid.com/ovidweb.cgi?T=JS&amp;NEWS=n&amp;CSC=Y&amp;PAGE=booktext&amp;D=books&amp;AN=00139980$&amp;XPATH=/PG(0)")</f>
        <v>http://ovidsp.ovid.com/ovidweb.cgi?T=JS&amp;NEWS=n&amp;CSC=Y&amp;PAGE=booktext&amp;D=books&amp;AN=00139980$&amp;XPATH=/PG(0)</v>
      </c>
      <c r="G626" s="2" t="s">
        <v>12</v>
      </c>
    </row>
    <row r="627" spans="1:7" x14ac:dyDescent="0.15">
      <c r="A627" s="2" t="s">
        <v>1894</v>
      </c>
      <c r="B627" s="2" t="s">
        <v>1897</v>
      </c>
      <c r="C627" s="2" t="s">
        <v>1898</v>
      </c>
      <c r="D627" s="2" t="s">
        <v>10</v>
      </c>
      <c r="E627" s="2" t="s">
        <v>53</v>
      </c>
      <c r="F627" s="3" t="str">
        <f>HYPERLINK("http://ovidsp.ovid.com/ovidweb.cgi?T=JS&amp;NEWS=n&amp;CSC=Y&amp;PAGE=booktext&amp;D=books&amp;AN=01223028$&amp;XPATH=/PG(0)","http://ovidsp.ovid.com/ovidweb.cgi?T=JS&amp;NEWS=n&amp;CSC=Y&amp;PAGE=booktext&amp;D=books&amp;AN=01223028$&amp;XPATH=/PG(0)")</f>
        <v>http://ovidsp.ovid.com/ovidweb.cgi?T=JS&amp;NEWS=n&amp;CSC=Y&amp;PAGE=booktext&amp;D=books&amp;AN=01223028$&amp;XPATH=/PG(0)</v>
      </c>
      <c r="G627" s="2" t="s">
        <v>17</v>
      </c>
    </row>
    <row r="628" spans="1:7" x14ac:dyDescent="0.15">
      <c r="A628" s="2" t="s">
        <v>1899</v>
      </c>
      <c r="B628" s="2" t="s">
        <v>1900</v>
      </c>
      <c r="C628" s="2" t="s">
        <v>1901</v>
      </c>
      <c r="D628" s="2" t="s">
        <v>10</v>
      </c>
      <c r="E628" s="2" t="s">
        <v>49</v>
      </c>
      <c r="F628" s="3" t="str">
        <f>HYPERLINK("http://ovidsp.ovid.com/ovidweb.cgi?T=JS&amp;NEWS=n&amp;CSC=Y&amp;PAGE=booktext&amp;D=books&amp;AN=01382491$&amp;XPATH=/PG(0)","http://ovidsp.ovid.com/ovidweb.cgi?T=JS&amp;NEWS=n&amp;CSC=Y&amp;PAGE=booktext&amp;D=books&amp;AN=01382491$&amp;XPATH=/PG(0)")</f>
        <v>http://ovidsp.ovid.com/ovidweb.cgi?T=JS&amp;NEWS=n&amp;CSC=Y&amp;PAGE=booktext&amp;D=books&amp;AN=01382491$&amp;XPATH=/PG(0)</v>
      </c>
      <c r="G628" s="2" t="s">
        <v>17</v>
      </c>
    </row>
    <row r="629" spans="1:7" x14ac:dyDescent="0.15">
      <c r="A629" s="2" t="s">
        <v>1902</v>
      </c>
      <c r="B629" s="2" t="s">
        <v>1903</v>
      </c>
      <c r="C629" s="2" t="s">
        <v>1904</v>
      </c>
      <c r="D629" s="2" t="s">
        <v>10</v>
      </c>
      <c r="E629" s="2" t="s">
        <v>95</v>
      </c>
      <c r="F629" s="3" t="str">
        <f>HYPERLINK("http://ovidsp.ovid.com/ovidweb.cgi?T=JS&amp;NEWS=n&amp;CSC=Y&amp;PAGE=booktext&amp;D=books&amp;AN=00139981$&amp;XPATH=/PG(0)","http://ovidsp.ovid.com/ovidweb.cgi?T=JS&amp;NEWS=n&amp;CSC=Y&amp;PAGE=booktext&amp;D=books&amp;AN=00139981$&amp;XPATH=/PG(0)")</f>
        <v>http://ovidsp.ovid.com/ovidweb.cgi?T=JS&amp;NEWS=n&amp;CSC=Y&amp;PAGE=booktext&amp;D=books&amp;AN=00139981$&amp;XPATH=/PG(0)</v>
      </c>
      <c r="G629" s="2" t="s">
        <v>12</v>
      </c>
    </row>
    <row r="630" spans="1:7" x14ac:dyDescent="0.15">
      <c r="A630" s="2" t="s">
        <v>1905</v>
      </c>
      <c r="B630" s="2" t="s">
        <v>1906</v>
      </c>
      <c r="C630" s="2" t="s">
        <v>1907</v>
      </c>
      <c r="D630" s="2" t="s">
        <v>10</v>
      </c>
      <c r="E630" s="2" t="s">
        <v>16</v>
      </c>
      <c r="F630" s="3" t="str">
        <f>HYPERLINK("http://ovidsp.ovid.com/ovidweb.cgi?T=JS&amp;NEWS=n&amp;CSC=Y&amp;PAGE=booktext&amp;D=books&amp;AN=01382634$&amp;XPATH=/PG(0)","http://ovidsp.ovid.com/ovidweb.cgi?T=JS&amp;NEWS=n&amp;CSC=Y&amp;PAGE=booktext&amp;D=books&amp;AN=01382634$&amp;XPATH=/PG(0)")</f>
        <v>http://ovidsp.ovid.com/ovidweb.cgi?T=JS&amp;NEWS=n&amp;CSC=Y&amp;PAGE=booktext&amp;D=books&amp;AN=01382634$&amp;XPATH=/PG(0)</v>
      </c>
      <c r="G630" s="2" t="s">
        <v>17</v>
      </c>
    </row>
    <row r="631" spans="1:7" x14ac:dyDescent="0.15">
      <c r="A631" s="2" t="s">
        <v>1908</v>
      </c>
      <c r="B631" s="2" t="s">
        <v>1909</v>
      </c>
      <c r="C631" s="2" t="s">
        <v>1910</v>
      </c>
      <c r="D631" s="2" t="s">
        <v>10</v>
      </c>
      <c r="E631" s="2" t="s">
        <v>16</v>
      </c>
      <c r="F631" s="3" t="str">
        <f>HYPERLINK("http://ovidsp.ovid.com/ovidweb.cgi?T=JS&amp;NEWS=n&amp;CSC=Y&amp;PAGE=booktext&amp;D=books&amp;AN=01279757$&amp;XPATH=/PG(0)","http://ovidsp.ovid.com/ovidweb.cgi?T=JS&amp;NEWS=n&amp;CSC=Y&amp;PAGE=booktext&amp;D=books&amp;AN=01279757$&amp;XPATH=/PG(0)")</f>
        <v>http://ovidsp.ovid.com/ovidweb.cgi?T=JS&amp;NEWS=n&amp;CSC=Y&amp;PAGE=booktext&amp;D=books&amp;AN=01279757$&amp;XPATH=/PG(0)</v>
      </c>
      <c r="G631" s="2" t="s">
        <v>17</v>
      </c>
    </row>
    <row r="632" spans="1:7" x14ac:dyDescent="0.15">
      <c r="A632" s="2" t="s">
        <v>1911</v>
      </c>
      <c r="B632" s="2" t="s">
        <v>1912</v>
      </c>
      <c r="C632" s="2" t="s">
        <v>1913</v>
      </c>
      <c r="D632" s="2" t="s">
        <v>10</v>
      </c>
      <c r="E632" s="2" t="s">
        <v>16</v>
      </c>
      <c r="F632" s="3" t="str">
        <f>HYPERLINK("http://ovidsp.ovid.com/ovidweb.cgi?T=JS&amp;NEWS=n&amp;CSC=Y&amp;PAGE=booktext&amp;D=books&amp;AN=01382635$&amp;XPATH=/PG(0)","http://ovidsp.ovid.com/ovidweb.cgi?T=JS&amp;NEWS=n&amp;CSC=Y&amp;PAGE=booktext&amp;D=books&amp;AN=01382635$&amp;XPATH=/PG(0)")</f>
        <v>http://ovidsp.ovid.com/ovidweb.cgi?T=JS&amp;NEWS=n&amp;CSC=Y&amp;PAGE=booktext&amp;D=books&amp;AN=01382635$&amp;XPATH=/PG(0)</v>
      </c>
      <c r="G632" s="2" t="s">
        <v>17</v>
      </c>
    </row>
    <row r="633" spans="1:7" x14ac:dyDescent="0.15">
      <c r="A633" s="2" t="s">
        <v>1914</v>
      </c>
      <c r="B633" s="2" t="s">
        <v>1915</v>
      </c>
      <c r="C633" s="2" t="s">
        <v>1916</v>
      </c>
      <c r="D633" s="2" t="s">
        <v>10</v>
      </c>
      <c r="E633" s="2" t="s">
        <v>16</v>
      </c>
      <c r="F633" s="3" t="str">
        <f>HYPERLINK("http://ovidsp.ovid.com/ovidweb.cgi?T=JS&amp;NEWS=n&amp;CSC=Y&amp;PAGE=booktext&amp;D=books&amp;AN=01382824$&amp;XPATH=/PG(0)","http://ovidsp.ovid.com/ovidweb.cgi?T=JS&amp;NEWS=n&amp;CSC=Y&amp;PAGE=booktext&amp;D=books&amp;AN=01382824$&amp;XPATH=/PG(0)")</f>
        <v>http://ovidsp.ovid.com/ovidweb.cgi?T=JS&amp;NEWS=n&amp;CSC=Y&amp;PAGE=booktext&amp;D=books&amp;AN=01382824$&amp;XPATH=/PG(0)</v>
      </c>
      <c r="G633" s="2" t="s">
        <v>12</v>
      </c>
    </row>
    <row r="634" spans="1:7" x14ac:dyDescent="0.15">
      <c r="A634" s="2" t="s">
        <v>1917</v>
      </c>
      <c r="B634" s="2" t="s">
        <v>1918</v>
      </c>
      <c r="C634" s="2" t="s">
        <v>1919</v>
      </c>
      <c r="D634" s="2" t="s">
        <v>10</v>
      </c>
      <c r="E634" s="2" t="s">
        <v>53</v>
      </c>
      <c r="F634" s="3" t="str">
        <f>HYPERLINK("http://ovidsp.ovid.com/ovidweb.cgi?T=JS&amp;NEWS=n&amp;CSC=Y&amp;PAGE=booktext&amp;D=books&amp;AN=01223029$&amp;XPATH=/PG(0)","http://ovidsp.ovid.com/ovidweb.cgi?T=JS&amp;NEWS=n&amp;CSC=Y&amp;PAGE=booktext&amp;D=books&amp;AN=01223029$&amp;XPATH=/PG(0)")</f>
        <v>http://ovidsp.ovid.com/ovidweb.cgi?T=JS&amp;NEWS=n&amp;CSC=Y&amp;PAGE=booktext&amp;D=books&amp;AN=01223029$&amp;XPATH=/PG(0)</v>
      </c>
      <c r="G634" s="2" t="s">
        <v>17</v>
      </c>
    </row>
    <row r="635" spans="1:7" x14ac:dyDescent="0.15">
      <c r="A635" s="2" t="s">
        <v>1920</v>
      </c>
      <c r="B635" s="2" t="s">
        <v>1921</v>
      </c>
      <c r="C635" s="2" t="s">
        <v>1922</v>
      </c>
      <c r="D635" s="2" t="s">
        <v>10</v>
      </c>
      <c r="E635" s="2" t="s">
        <v>49</v>
      </c>
      <c r="F635" s="3" t="str">
        <f>HYPERLINK("http://ovidsp.ovid.com/ovidweb.cgi?T=JS&amp;NEWS=n&amp;CSC=Y&amp;PAGE=booktext&amp;D=books&amp;AN=01382638$&amp;XPATH=/PG(0)","http://ovidsp.ovid.com/ovidweb.cgi?T=JS&amp;NEWS=n&amp;CSC=Y&amp;PAGE=booktext&amp;D=books&amp;AN=01382638$&amp;XPATH=/PG(0)")</f>
        <v>http://ovidsp.ovid.com/ovidweb.cgi?T=JS&amp;NEWS=n&amp;CSC=Y&amp;PAGE=booktext&amp;D=books&amp;AN=01382638$&amp;XPATH=/PG(0)</v>
      </c>
      <c r="G635" s="2" t="s">
        <v>17</v>
      </c>
    </row>
    <row r="636" spans="1:7" x14ac:dyDescent="0.15">
      <c r="A636" s="2" t="s">
        <v>1923</v>
      </c>
      <c r="B636" s="2" t="s">
        <v>1924</v>
      </c>
      <c r="C636" s="2" t="s">
        <v>1925</v>
      </c>
      <c r="D636" s="2" t="s">
        <v>10</v>
      </c>
      <c r="E636" s="2" t="s">
        <v>16</v>
      </c>
      <c r="F636" s="3" t="str">
        <f>HYPERLINK("http://ovidsp.ovid.com/ovidweb.cgi?T=JS&amp;NEWS=n&amp;CSC=Y&amp;PAGE=booktext&amp;D=books&amp;AN=01279758$&amp;XPATH=/PG(0)","http://ovidsp.ovid.com/ovidweb.cgi?T=JS&amp;NEWS=n&amp;CSC=Y&amp;PAGE=booktext&amp;D=books&amp;AN=01279758$&amp;XPATH=/PG(0)")</f>
        <v>http://ovidsp.ovid.com/ovidweb.cgi?T=JS&amp;NEWS=n&amp;CSC=Y&amp;PAGE=booktext&amp;D=books&amp;AN=01279758$&amp;XPATH=/PG(0)</v>
      </c>
      <c r="G636" s="2" t="s">
        <v>17</v>
      </c>
    </row>
    <row r="637" spans="1:7" x14ac:dyDescent="0.15">
      <c r="A637" s="2" t="s">
        <v>1926</v>
      </c>
      <c r="B637" s="2" t="s">
        <v>1927</v>
      </c>
      <c r="C637" s="2" t="s">
        <v>1928</v>
      </c>
      <c r="D637" s="2" t="s">
        <v>10</v>
      </c>
      <c r="E637" s="2" t="s">
        <v>16</v>
      </c>
      <c r="F637" s="3" t="str">
        <f>HYPERLINK("http://ovidsp.ovid.com/ovidweb.cgi?T=JS&amp;NEWS=n&amp;CSC=Y&amp;PAGE=booktext&amp;D=books&amp;AN=01279759$&amp;XPATH=/PG(0)","http://ovidsp.ovid.com/ovidweb.cgi?T=JS&amp;NEWS=n&amp;CSC=Y&amp;PAGE=booktext&amp;D=books&amp;AN=01279759$&amp;XPATH=/PG(0)")</f>
        <v>http://ovidsp.ovid.com/ovidweb.cgi?T=JS&amp;NEWS=n&amp;CSC=Y&amp;PAGE=booktext&amp;D=books&amp;AN=01279759$&amp;XPATH=/PG(0)</v>
      </c>
      <c r="G637" s="2" t="s">
        <v>17</v>
      </c>
    </row>
    <row r="638" spans="1:7" x14ac:dyDescent="0.15">
      <c r="A638" s="2" t="s">
        <v>1929</v>
      </c>
      <c r="B638" s="2" t="s">
        <v>1930</v>
      </c>
      <c r="C638" s="2" t="s">
        <v>1931</v>
      </c>
      <c r="D638" s="2" t="s">
        <v>10</v>
      </c>
      <c r="E638" s="2" t="s">
        <v>45</v>
      </c>
      <c r="F638" s="3" t="str">
        <f>HYPERLINK("http://ovidsp.ovid.com/ovidweb.cgi?T=JS&amp;NEWS=n&amp;CSC=Y&amp;PAGE=booktext&amp;D=books&amp;AN=01382640$&amp;XPATH=/PG(0)","http://ovidsp.ovid.com/ovidweb.cgi?T=JS&amp;NEWS=n&amp;CSC=Y&amp;PAGE=booktext&amp;D=books&amp;AN=01382640$&amp;XPATH=/PG(0)")</f>
        <v>http://ovidsp.ovid.com/ovidweb.cgi?T=JS&amp;NEWS=n&amp;CSC=Y&amp;PAGE=booktext&amp;D=books&amp;AN=01382640$&amp;XPATH=/PG(0)</v>
      </c>
      <c r="G638" s="2" t="s">
        <v>17</v>
      </c>
    </row>
    <row r="639" spans="1:7" x14ac:dyDescent="0.15">
      <c r="A639" s="2" t="s">
        <v>1932</v>
      </c>
      <c r="B639" s="2" t="s">
        <v>1933</v>
      </c>
      <c r="C639" s="2" t="s">
        <v>1934</v>
      </c>
      <c r="D639" s="2" t="s">
        <v>10</v>
      </c>
      <c r="E639" s="2" t="s">
        <v>49</v>
      </c>
      <c r="F639" s="3" t="str">
        <f>HYPERLINK("http://ovidsp.ovid.com/ovidweb.cgi?T=JS&amp;NEWS=n&amp;CSC=Y&amp;PAGE=booktext&amp;D=books&amp;AN=01382878$&amp;XPATH=/PG(0)","http://ovidsp.ovid.com/ovidweb.cgi?T=JS&amp;NEWS=n&amp;CSC=Y&amp;PAGE=booktext&amp;D=books&amp;AN=01382878$&amp;XPATH=/PG(0)")</f>
        <v>http://ovidsp.ovid.com/ovidweb.cgi?T=JS&amp;NEWS=n&amp;CSC=Y&amp;PAGE=booktext&amp;D=books&amp;AN=01382878$&amp;XPATH=/PG(0)</v>
      </c>
      <c r="G639" s="2" t="s">
        <v>12</v>
      </c>
    </row>
    <row r="640" spans="1:7" x14ac:dyDescent="0.15">
      <c r="A640" s="2" t="s">
        <v>1935</v>
      </c>
      <c r="B640" s="2" t="s">
        <v>1936</v>
      </c>
      <c r="C640" s="2" t="s">
        <v>1937</v>
      </c>
      <c r="D640" s="2" t="s">
        <v>10</v>
      </c>
      <c r="E640" s="2" t="s">
        <v>16</v>
      </c>
      <c r="F640" s="3" t="str">
        <f>HYPERLINK("http://ovidsp.ovid.com/ovidweb.cgi?T=JS&amp;NEWS=n&amp;CSC=Y&amp;PAGE=booktext&amp;D=books&amp;AN=01382880$&amp;XPATH=/PG(0)","http://ovidsp.ovid.com/ovidweb.cgi?T=JS&amp;NEWS=n&amp;CSC=Y&amp;PAGE=booktext&amp;D=books&amp;AN=01382880$&amp;XPATH=/PG(0)")</f>
        <v>http://ovidsp.ovid.com/ovidweb.cgi?T=JS&amp;NEWS=n&amp;CSC=Y&amp;PAGE=booktext&amp;D=books&amp;AN=01382880$&amp;XPATH=/PG(0)</v>
      </c>
      <c r="G640" s="2" t="s">
        <v>12</v>
      </c>
    </row>
    <row r="641" spans="1:7" x14ac:dyDescent="0.15">
      <c r="A641" s="2" t="s">
        <v>1938</v>
      </c>
      <c r="B641" s="2" t="s">
        <v>1939</v>
      </c>
      <c r="C641" s="2" t="s">
        <v>1940</v>
      </c>
      <c r="D641" s="2" t="s">
        <v>10</v>
      </c>
      <c r="E641" s="2" t="s">
        <v>45</v>
      </c>
      <c r="F641" s="3" t="str">
        <f>HYPERLINK("http://ovidsp.ovid.com/ovidweb.cgi?T=JS&amp;NEWS=n&amp;CSC=Y&amp;PAGE=booktext&amp;D=books&amp;AN=01257030$&amp;XPATH=/PG(0)","http://ovidsp.ovid.com/ovidweb.cgi?T=JS&amp;NEWS=n&amp;CSC=Y&amp;PAGE=booktext&amp;D=books&amp;AN=01257030$&amp;XPATH=/PG(0)")</f>
        <v>http://ovidsp.ovid.com/ovidweb.cgi?T=JS&amp;NEWS=n&amp;CSC=Y&amp;PAGE=booktext&amp;D=books&amp;AN=01257030$&amp;XPATH=/PG(0)</v>
      </c>
      <c r="G641" s="2" t="s">
        <v>12</v>
      </c>
    </row>
    <row r="642" spans="1:7" x14ac:dyDescent="0.15">
      <c r="A642" s="2" t="s">
        <v>1941</v>
      </c>
      <c r="B642" s="2" t="s">
        <v>1942</v>
      </c>
      <c r="C642" s="2" t="s">
        <v>1943</v>
      </c>
      <c r="D642" s="2" t="s">
        <v>10</v>
      </c>
      <c r="E642" s="2" t="s">
        <v>16</v>
      </c>
      <c r="F642" s="3" t="str">
        <f>HYPERLINK("http://ovidsp.ovid.com/ovidweb.cgi?T=JS&amp;NEWS=n&amp;CSC=Y&amp;PAGE=booktext&amp;D=books&amp;AN=00139983$&amp;XPATH=/PG(0)","http://ovidsp.ovid.com/ovidweb.cgi?T=JS&amp;NEWS=n&amp;CSC=Y&amp;PAGE=booktext&amp;D=books&amp;AN=00139983$&amp;XPATH=/PG(0)")</f>
        <v>http://ovidsp.ovid.com/ovidweb.cgi?T=JS&amp;NEWS=n&amp;CSC=Y&amp;PAGE=booktext&amp;D=books&amp;AN=00139983$&amp;XPATH=/PG(0)</v>
      </c>
      <c r="G642" s="2" t="s">
        <v>17</v>
      </c>
    </row>
    <row r="643" spans="1:7" x14ac:dyDescent="0.15">
      <c r="A643" s="2" t="s">
        <v>1944</v>
      </c>
      <c r="B643" s="2" t="s">
        <v>1945</v>
      </c>
      <c r="C643" s="2" t="s">
        <v>1946</v>
      </c>
      <c r="D643" s="2" t="s">
        <v>10</v>
      </c>
      <c r="E643" s="2" t="s">
        <v>16</v>
      </c>
      <c r="F643" s="3" t="str">
        <f>HYPERLINK("http://ovidsp.ovid.com/ovidweb.cgi?T=JS&amp;NEWS=n&amp;CSC=Y&amp;PAGE=booktext&amp;D=books&amp;AN=00139984$&amp;XPATH=/PG(0)","http://ovidsp.ovid.com/ovidweb.cgi?T=JS&amp;NEWS=n&amp;CSC=Y&amp;PAGE=booktext&amp;D=books&amp;AN=00139984$&amp;XPATH=/PG(0)")</f>
        <v>http://ovidsp.ovid.com/ovidweb.cgi?T=JS&amp;NEWS=n&amp;CSC=Y&amp;PAGE=booktext&amp;D=books&amp;AN=00139984$&amp;XPATH=/PG(0)</v>
      </c>
      <c r="G643" s="2" t="s">
        <v>17</v>
      </c>
    </row>
    <row r="644" spans="1:7" x14ac:dyDescent="0.15">
      <c r="A644" s="2" t="s">
        <v>1947</v>
      </c>
      <c r="B644" s="2" t="s">
        <v>1948</v>
      </c>
      <c r="C644" s="2" t="s">
        <v>1949</v>
      </c>
      <c r="D644" s="2" t="s">
        <v>10</v>
      </c>
      <c r="E644" s="2" t="s">
        <v>49</v>
      </c>
      <c r="F644" s="3" t="str">
        <f>HYPERLINK("http://ovidsp.ovid.com/ovidweb.cgi?T=JS&amp;NEWS=n&amp;CSC=Y&amp;PAGE=booktext&amp;D=books&amp;AN=01223030$&amp;XPATH=/PG(0)","http://ovidsp.ovid.com/ovidweb.cgi?T=JS&amp;NEWS=n&amp;CSC=Y&amp;PAGE=booktext&amp;D=books&amp;AN=01223030$&amp;XPATH=/PG(0)")</f>
        <v>http://ovidsp.ovid.com/ovidweb.cgi?T=JS&amp;NEWS=n&amp;CSC=Y&amp;PAGE=booktext&amp;D=books&amp;AN=01223030$&amp;XPATH=/PG(0)</v>
      </c>
      <c r="G644" s="2" t="s">
        <v>17</v>
      </c>
    </row>
    <row r="645" spans="1:7" x14ac:dyDescent="0.15">
      <c r="A645" s="2" t="s">
        <v>1950</v>
      </c>
      <c r="B645" s="2" t="s">
        <v>1951</v>
      </c>
      <c r="C645" s="2" t="s">
        <v>1952</v>
      </c>
      <c r="D645" s="2" t="s">
        <v>10</v>
      </c>
      <c r="E645" s="2" t="s">
        <v>16</v>
      </c>
      <c r="F645" s="3" t="str">
        <f>HYPERLINK("http://ovidsp.ovid.com/ovidweb.cgi?T=JS&amp;NEWS=n&amp;CSC=Y&amp;PAGE=booktext&amp;D=books&amp;AN=01382642$&amp;XPATH=/PG(0)","http://ovidsp.ovid.com/ovidweb.cgi?T=JS&amp;NEWS=n&amp;CSC=Y&amp;PAGE=booktext&amp;D=books&amp;AN=01382642$&amp;XPATH=/PG(0)")</f>
        <v>http://ovidsp.ovid.com/ovidweb.cgi?T=JS&amp;NEWS=n&amp;CSC=Y&amp;PAGE=booktext&amp;D=books&amp;AN=01382642$&amp;XPATH=/PG(0)</v>
      </c>
      <c r="G645" s="2" t="s">
        <v>17</v>
      </c>
    </row>
    <row r="646" spans="1:7" x14ac:dyDescent="0.15">
      <c r="A646" s="2" t="s">
        <v>1953</v>
      </c>
      <c r="B646" s="2" t="s">
        <v>1954</v>
      </c>
      <c r="C646" s="2" t="s">
        <v>1955</v>
      </c>
      <c r="D646" s="2" t="s">
        <v>10</v>
      </c>
      <c r="E646" s="2" t="s">
        <v>45</v>
      </c>
      <c r="F646" s="3" t="str">
        <f>HYPERLINK("http://ovidsp.ovid.com/ovidweb.cgi?T=JS&amp;NEWS=n&amp;CSC=Y&amp;PAGE=booktext&amp;D=books&amp;AN=01257043$&amp;XPATH=/PG(0)","http://ovidsp.ovid.com/ovidweb.cgi?T=JS&amp;NEWS=n&amp;CSC=Y&amp;PAGE=booktext&amp;D=books&amp;AN=01257043$&amp;XPATH=/PG(0)")</f>
        <v>http://ovidsp.ovid.com/ovidweb.cgi?T=JS&amp;NEWS=n&amp;CSC=Y&amp;PAGE=booktext&amp;D=books&amp;AN=01257043$&amp;XPATH=/PG(0)</v>
      </c>
      <c r="G646" s="2" t="s">
        <v>17</v>
      </c>
    </row>
    <row r="647" spans="1:7" x14ac:dyDescent="0.15">
      <c r="A647" s="2" t="s">
        <v>1956</v>
      </c>
      <c r="B647" s="2" t="s">
        <v>1957</v>
      </c>
      <c r="C647" s="2" t="s">
        <v>1958</v>
      </c>
      <c r="D647" s="2" t="s">
        <v>10</v>
      </c>
      <c r="E647" s="2" t="s">
        <v>95</v>
      </c>
      <c r="F647" s="3" t="str">
        <f>HYPERLINK("http://ovidsp.ovid.com/ovidweb.cgi?T=JS&amp;NEWS=n&amp;CSC=Y&amp;PAGE=booktext&amp;D=books&amp;AN=01312065$&amp;XPATH=/PG(0)","http://ovidsp.ovid.com/ovidweb.cgi?T=JS&amp;NEWS=n&amp;CSC=Y&amp;PAGE=booktext&amp;D=books&amp;AN=01312065$&amp;XPATH=/PG(0)")</f>
        <v>http://ovidsp.ovid.com/ovidweb.cgi?T=JS&amp;NEWS=n&amp;CSC=Y&amp;PAGE=booktext&amp;D=books&amp;AN=01312065$&amp;XPATH=/PG(0)</v>
      </c>
      <c r="G647" s="2" t="s">
        <v>17</v>
      </c>
    </row>
    <row r="648" spans="1:7" x14ac:dyDescent="0.15">
      <c r="A648" s="2" t="s">
        <v>1959</v>
      </c>
      <c r="B648" s="2" t="s">
        <v>1960</v>
      </c>
      <c r="C648" s="2" t="s">
        <v>1961</v>
      </c>
      <c r="D648" s="2" t="s">
        <v>10</v>
      </c>
      <c r="E648" s="2" t="s">
        <v>16</v>
      </c>
      <c r="F648" s="3" t="str">
        <f>HYPERLINK("http://ovidsp.ovid.com/ovidweb.cgi?T=JS&amp;NEWS=n&amp;CSC=Y&amp;PAGE=booktext&amp;D=books&amp;AN=01382536$&amp;XPATH=/PG(0)","http://ovidsp.ovid.com/ovidweb.cgi?T=JS&amp;NEWS=n&amp;CSC=Y&amp;PAGE=booktext&amp;D=books&amp;AN=01382536$&amp;XPATH=/PG(0)")</f>
        <v>http://ovidsp.ovid.com/ovidweb.cgi?T=JS&amp;NEWS=n&amp;CSC=Y&amp;PAGE=booktext&amp;D=books&amp;AN=01382536$&amp;XPATH=/PG(0)</v>
      </c>
      <c r="G648" s="2" t="s">
        <v>17</v>
      </c>
    </row>
    <row r="649" spans="1:7" x14ac:dyDescent="0.15">
      <c r="A649" s="2" t="s">
        <v>1962</v>
      </c>
      <c r="B649" s="2" t="s">
        <v>1963</v>
      </c>
      <c r="C649" s="2" t="s">
        <v>1964</v>
      </c>
      <c r="D649" s="2" t="s">
        <v>10</v>
      </c>
      <c r="E649" s="2" t="s">
        <v>53</v>
      </c>
      <c r="F649" s="3" t="str">
        <f>HYPERLINK("http://ovidsp.ovid.com/ovidweb.cgi?T=JS&amp;NEWS=n&amp;CSC=Y&amp;PAGE=booktext&amp;D=books&amp;AN=01273130$&amp;XPATH=/PG(0)","http://ovidsp.ovid.com/ovidweb.cgi?T=JS&amp;NEWS=n&amp;CSC=Y&amp;PAGE=booktext&amp;D=books&amp;AN=01273130$&amp;XPATH=/PG(0)")</f>
        <v>http://ovidsp.ovid.com/ovidweb.cgi?T=JS&amp;NEWS=n&amp;CSC=Y&amp;PAGE=booktext&amp;D=books&amp;AN=01273130$&amp;XPATH=/PG(0)</v>
      </c>
      <c r="G649" s="2" t="s">
        <v>17</v>
      </c>
    </row>
    <row r="650" spans="1:7" x14ac:dyDescent="0.15">
      <c r="A650" s="2" t="s">
        <v>1965</v>
      </c>
      <c r="B650" s="2" t="s">
        <v>1966</v>
      </c>
      <c r="C650" s="2" t="s">
        <v>1967</v>
      </c>
      <c r="D650" s="2" t="s">
        <v>10</v>
      </c>
      <c r="E650" s="2" t="s">
        <v>16</v>
      </c>
      <c r="F650" s="3" t="str">
        <f>HYPERLINK("http://ovidsp.ovid.com/ovidweb.cgi?T=JS&amp;NEWS=n&amp;CSC=Y&amp;PAGE=booktext&amp;D=books&amp;AN=01382416$&amp;XPATH=/PG(0)","http://ovidsp.ovid.com/ovidweb.cgi?T=JS&amp;NEWS=n&amp;CSC=Y&amp;PAGE=booktext&amp;D=books&amp;AN=01382416$&amp;XPATH=/PG(0)")</f>
        <v>http://ovidsp.ovid.com/ovidweb.cgi?T=JS&amp;NEWS=n&amp;CSC=Y&amp;PAGE=booktext&amp;D=books&amp;AN=01382416$&amp;XPATH=/PG(0)</v>
      </c>
      <c r="G650" s="2" t="s">
        <v>17</v>
      </c>
    </row>
    <row r="651" spans="1:7" x14ac:dyDescent="0.15">
      <c r="A651" s="2" t="s">
        <v>1968</v>
      </c>
      <c r="B651" s="2" t="s">
        <v>1969</v>
      </c>
      <c r="C651" s="2" t="s">
        <v>1970</v>
      </c>
      <c r="D651" s="2" t="s">
        <v>10</v>
      </c>
      <c r="E651" s="2" t="s">
        <v>45</v>
      </c>
      <c r="F651" s="3" t="str">
        <f>HYPERLINK("http://ovidsp.ovid.com/ovidweb.cgi?T=JS&amp;NEWS=n&amp;CSC=Y&amp;PAGE=booktext&amp;D=books&amp;AN=01223031$&amp;XPATH=/PG(0)","http://ovidsp.ovid.com/ovidweb.cgi?T=JS&amp;NEWS=n&amp;CSC=Y&amp;PAGE=booktext&amp;D=books&amp;AN=01223031$&amp;XPATH=/PG(0)")</f>
        <v>http://ovidsp.ovid.com/ovidweb.cgi?T=JS&amp;NEWS=n&amp;CSC=Y&amp;PAGE=booktext&amp;D=books&amp;AN=01223031$&amp;XPATH=/PG(0)</v>
      </c>
      <c r="G651" s="2" t="s">
        <v>17</v>
      </c>
    </row>
    <row r="652" spans="1:7" x14ac:dyDescent="0.15">
      <c r="A652" s="2" t="s">
        <v>1971</v>
      </c>
      <c r="B652" s="2" t="s">
        <v>1972</v>
      </c>
      <c r="C652" s="2" t="s">
        <v>1973</v>
      </c>
      <c r="D652" s="2" t="s">
        <v>10</v>
      </c>
      <c r="E652" s="2" t="s">
        <v>45</v>
      </c>
      <c r="F652" s="3" t="str">
        <f>HYPERLINK("http://ovidsp.ovid.com/ovidweb.cgi?T=JS&amp;NEWS=n&amp;CSC=Y&amp;PAGE=booktext&amp;D=books&amp;AN=01223032$&amp;XPATH=/PG(0)","http://ovidsp.ovid.com/ovidweb.cgi?T=JS&amp;NEWS=n&amp;CSC=Y&amp;PAGE=booktext&amp;D=books&amp;AN=01223032$&amp;XPATH=/PG(0)")</f>
        <v>http://ovidsp.ovid.com/ovidweb.cgi?T=JS&amp;NEWS=n&amp;CSC=Y&amp;PAGE=booktext&amp;D=books&amp;AN=01223032$&amp;XPATH=/PG(0)</v>
      </c>
      <c r="G652" s="2" t="s">
        <v>17</v>
      </c>
    </row>
    <row r="653" spans="1:7" x14ac:dyDescent="0.15">
      <c r="A653" s="2" t="s">
        <v>1971</v>
      </c>
      <c r="B653" s="2" t="s">
        <v>1974</v>
      </c>
      <c r="C653" s="2" t="s">
        <v>1975</v>
      </c>
      <c r="D653" s="2" t="s">
        <v>10</v>
      </c>
      <c r="E653" s="2" t="s">
        <v>95</v>
      </c>
      <c r="F653" s="3" t="str">
        <f>HYPERLINK("http://ovidsp.ovid.com/ovidweb.cgi?T=JS&amp;NEWS=n&amp;CSC=Y&amp;PAGE=booktext&amp;D=books&amp;AN=01337651$&amp;XPATH=/PG(0)","http://ovidsp.ovid.com/ovidweb.cgi?T=JS&amp;NEWS=n&amp;CSC=Y&amp;PAGE=booktext&amp;D=books&amp;AN=01337651$&amp;XPATH=/PG(0)")</f>
        <v>http://ovidsp.ovid.com/ovidweb.cgi?T=JS&amp;NEWS=n&amp;CSC=Y&amp;PAGE=booktext&amp;D=books&amp;AN=01337651$&amp;XPATH=/PG(0)</v>
      </c>
      <c r="G653" s="2" t="s">
        <v>17</v>
      </c>
    </row>
    <row r="654" spans="1:7" x14ac:dyDescent="0.15">
      <c r="A654" s="2" t="s">
        <v>1976</v>
      </c>
      <c r="B654" s="2" t="s">
        <v>1977</v>
      </c>
      <c r="C654" s="2" t="s">
        <v>1978</v>
      </c>
      <c r="D654" s="2" t="s">
        <v>10</v>
      </c>
      <c r="E654" s="2" t="s">
        <v>16</v>
      </c>
      <c r="F654" s="3" t="str">
        <f>HYPERLINK("http://ovidsp.ovid.com/ovidweb.cgi?T=JS&amp;NEWS=n&amp;CSC=Y&amp;PAGE=booktext&amp;D=books&amp;AN=01382643$&amp;XPATH=/PG(0)","http://ovidsp.ovid.com/ovidweb.cgi?T=JS&amp;NEWS=n&amp;CSC=Y&amp;PAGE=booktext&amp;D=books&amp;AN=01382643$&amp;XPATH=/PG(0)")</f>
        <v>http://ovidsp.ovid.com/ovidweb.cgi?T=JS&amp;NEWS=n&amp;CSC=Y&amp;PAGE=booktext&amp;D=books&amp;AN=01382643$&amp;XPATH=/PG(0)</v>
      </c>
      <c r="G654" s="2" t="s">
        <v>17</v>
      </c>
    </row>
    <row r="655" spans="1:7" x14ac:dyDescent="0.15">
      <c r="A655" s="2" t="s">
        <v>1979</v>
      </c>
      <c r="B655" s="2" t="s">
        <v>1980</v>
      </c>
      <c r="C655" s="2" t="s">
        <v>1981</v>
      </c>
      <c r="D655" s="2" t="s">
        <v>10</v>
      </c>
      <c r="E655" s="2" t="s">
        <v>16</v>
      </c>
      <c r="F655" s="3" t="str">
        <f>HYPERLINK("http://ovidsp.ovid.com/ovidweb.cgi?T=JS&amp;NEWS=n&amp;CSC=Y&amp;PAGE=booktext&amp;D=books&amp;AN=01382644$&amp;XPATH=/PG(0)","http://ovidsp.ovid.com/ovidweb.cgi?T=JS&amp;NEWS=n&amp;CSC=Y&amp;PAGE=booktext&amp;D=books&amp;AN=01382644$&amp;XPATH=/PG(0)")</f>
        <v>http://ovidsp.ovid.com/ovidweb.cgi?T=JS&amp;NEWS=n&amp;CSC=Y&amp;PAGE=booktext&amp;D=books&amp;AN=01382644$&amp;XPATH=/PG(0)</v>
      </c>
      <c r="G655" s="2" t="s">
        <v>17</v>
      </c>
    </row>
    <row r="656" spans="1:7" x14ac:dyDescent="0.15">
      <c r="A656" s="2" t="s">
        <v>1982</v>
      </c>
      <c r="B656" s="2" t="s">
        <v>1983</v>
      </c>
      <c r="C656" s="2" t="s">
        <v>1984</v>
      </c>
      <c r="D656" s="2" t="s">
        <v>10</v>
      </c>
      <c r="E656" s="2" t="s">
        <v>45</v>
      </c>
      <c r="F656" s="3" t="str">
        <f>HYPERLINK("http://ovidsp.ovid.com/ovidweb.cgi?T=JS&amp;NEWS=n&amp;CSC=Y&amp;PAGE=booktext&amp;D=books&amp;AN=01382645$&amp;XPATH=/PG(0)","http://ovidsp.ovid.com/ovidweb.cgi?T=JS&amp;NEWS=n&amp;CSC=Y&amp;PAGE=booktext&amp;D=books&amp;AN=01382645$&amp;XPATH=/PG(0)")</f>
        <v>http://ovidsp.ovid.com/ovidweb.cgi?T=JS&amp;NEWS=n&amp;CSC=Y&amp;PAGE=booktext&amp;D=books&amp;AN=01382645$&amp;XPATH=/PG(0)</v>
      </c>
      <c r="G656" s="2" t="s">
        <v>17</v>
      </c>
    </row>
    <row r="657" spans="1:7" x14ac:dyDescent="0.15">
      <c r="A657" s="2" t="s">
        <v>1985</v>
      </c>
      <c r="B657" s="2" t="s">
        <v>1986</v>
      </c>
      <c r="C657" s="2" t="s">
        <v>1987</v>
      </c>
      <c r="D657" s="2" t="s">
        <v>10</v>
      </c>
      <c r="E657" s="2" t="s">
        <v>16</v>
      </c>
      <c r="F657" s="3" t="str">
        <f>HYPERLINK("http://ovidsp.ovid.com/ovidweb.cgi?T=JS&amp;NEWS=n&amp;CSC=Y&amp;PAGE=booktext&amp;D=books&amp;AN=01382660$&amp;XPATH=/PG(0)","http://ovidsp.ovid.com/ovidweb.cgi?T=JS&amp;NEWS=n&amp;CSC=Y&amp;PAGE=booktext&amp;D=books&amp;AN=01382660$&amp;XPATH=/PG(0)")</f>
        <v>http://ovidsp.ovid.com/ovidweb.cgi?T=JS&amp;NEWS=n&amp;CSC=Y&amp;PAGE=booktext&amp;D=books&amp;AN=01382660$&amp;XPATH=/PG(0)</v>
      </c>
      <c r="G657" s="2" t="s">
        <v>17</v>
      </c>
    </row>
    <row r="658" spans="1:7" x14ac:dyDescent="0.15">
      <c r="A658" s="2" t="s">
        <v>1988</v>
      </c>
      <c r="B658" s="2" t="s">
        <v>1989</v>
      </c>
      <c r="C658" s="2" t="s">
        <v>1990</v>
      </c>
      <c r="D658" s="2" t="s">
        <v>10</v>
      </c>
      <c r="E658" s="2" t="s">
        <v>16</v>
      </c>
      <c r="F658" s="3" t="str">
        <f>HYPERLINK("http://ovidsp.ovid.com/ovidweb.cgi?T=JS&amp;NEWS=n&amp;CSC=Y&amp;PAGE=booktext&amp;D=books&amp;AN=01382834$&amp;XPATH=/PG(0)","http://ovidsp.ovid.com/ovidweb.cgi?T=JS&amp;NEWS=n&amp;CSC=Y&amp;PAGE=booktext&amp;D=books&amp;AN=01382834$&amp;XPATH=/PG(0)")</f>
        <v>http://ovidsp.ovid.com/ovidweb.cgi?T=JS&amp;NEWS=n&amp;CSC=Y&amp;PAGE=booktext&amp;D=books&amp;AN=01382834$&amp;XPATH=/PG(0)</v>
      </c>
      <c r="G658" s="2" t="s">
        <v>12</v>
      </c>
    </row>
    <row r="659" spans="1:7" x14ac:dyDescent="0.15">
      <c r="A659" s="2" t="s">
        <v>1991</v>
      </c>
      <c r="B659" s="2" t="s">
        <v>1992</v>
      </c>
      <c r="C659" s="2" t="s">
        <v>1993</v>
      </c>
      <c r="D659" s="2" t="s">
        <v>10</v>
      </c>
      <c r="E659" s="2" t="s">
        <v>49</v>
      </c>
      <c r="F659" s="3" t="str">
        <f>HYPERLINK("http://ovidsp.ovid.com/ovidweb.cgi?T=JS&amp;NEWS=n&amp;CSC=Y&amp;PAGE=booktext&amp;D=books&amp;AN=01223033$&amp;XPATH=/PG(0)","http://ovidsp.ovid.com/ovidweb.cgi?T=JS&amp;NEWS=n&amp;CSC=Y&amp;PAGE=booktext&amp;D=books&amp;AN=01223033$&amp;XPATH=/PG(0)")</f>
        <v>http://ovidsp.ovid.com/ovidweb.cgi?T=JS&amp;NEWS=n&amp;CSC=Y&amp;PAGE=booktext&amp;D=books&amp;AN=01223033$&amp;XPATH=/PG(0)</v>
      </c>
      <c r="G659" s="2" t="s">
        <v>17</v>
      </c>
    </row>
    <row r="660" spans="1:7" x14ac:dyDescent="0.15">
      <c r="A660" s="2" t="s">
        <v>1994</v>
      </c>
      <c r="B660" s="2" t="s">
        <v>1995</v>
      </c>
      <c r="C660" s="2" t="s">
        <v>1996</v>
      </c>
      <c r="D660" s="2" t="s">
        <v>10</v>
      </c>
      <c r="E660" s="2" t="s">
        <v>16</v>
      </c>
      <c r="F660" s="3" t="str">
        <f>HYPERLINK("http://ovidsp.ovid.com/ovidweb.cgi?T=JS&amp;NEWS=n&amp;CSC=Y&amp;PAGE=booktext&amp;D=books&amp;AN=01382647$&amp;XPATH=/PG(0)","http://ovidsp.ovid.com/ovidweb.cgi?T=JS&amp;NEWS=n&amp;CSC=Y&amp;PAGE=booktext&amp;D=books&amp;AN=01382647$&amp;XPATH=/PG(0)")</f>
        <v>http://ovidsp.ovid.com/ovidweb.cgi?T=JS&amp;NEWS=n&amp;CSC=Y&amp;PAGE=booktext&amp;D=books&amp;AN=01382647$&amp;XPATH=/PG(0)</v>
      </c>
      <c r="G660" s="2" t="s">
        <v>17</v>
      </c>
    </row>
    <row r="661" spans="1:7" x14ac:dyDescent="0.15">
      <c r="A661" s="2" t="s">
        <v>1997</v>
      </c>
      <c r="B661" s="2" t="s">
        <v>1998</v>
      </c>
      <c r="C661" s="2" t="s">
        <v>1999</v>
      </c>
      <c r="D661" s="2" t="s">
        <v>2000</v>
      </c>
      <c r="E661" s="2" t="s">
        <v>2001</v>
      </c>
      <c r="F661" s="3" t="str">
        <f>HYPERLINK("http://ovidsp.ovid.com/ovidweb.cgi?T=JS&amp;NEWS=n&amp;CSC=Y&amp;PAGE=booktext&amp;D=books&amp;AN=01253102$&amp;XPATH=/PG(0)","http://ovidsp.ovid.com/ovidweb.cgi?T=JS&amp;NEWS=n&amp;CSC=Y&amp;PAGE=booktext&amp;D=books&amp;AN=01253102$&amp;XPATH=/PG(0)")</f>
        <v>http://ovidsp.ovid.com/ovidweb.cgi?T=JS&amp;NEWS=n&amp;CSC=Y&amp;PAGE=booktext&amp;D=books&amp;AN=01253102$&amp;XPATH=/PG(0)</v>
      </c>
      <c r="G661" s="2" t="s">
        <v>17</v>
      </c>
    </row>
    <row r="662" spans="1:7" x14ac:dyDescent="0.15">
      <c r="A662" s="2" t="s">
        <v>2002</v>
      </c>
      <c r="B662" s="2" t="s">
        <v>2003</v>
      </c>
      <c r="C662" s="2" t="s">
        <v>2004</v>
      </c>
      <c r="D662" s="2" t="s">
        <v>10</v>
      </c>
      <c r="E662" s="2" t="s">
        <v>95</v>
      </c>
      <c r="F662" s="3" t="str">
        <f>HYPERLINK("http://ovidsp.ovid.com/ovidweb.cgi?T=JS&amp;NEWS=n&amp;CSC=Y&amp;PAGE=booktext&amp;D=books&amp;AN=01223034$&amp;XPATH=/PG(0)","http://ovidsp.ovid.com/ovidweb.cgi?T=JS&amp;NEWS=n&amp;CSC=Y&amp;PAGE=booktext&amp;D=books&amp;AN=01223034$&amp;XPATH=/PG(0)")</f>
        <v>http://ovidsp.ovid.com/ovidweb.cgi?T=JS&amp;NEWS=n&amp;CSC=Y&amp;PAGE=booktext&amp;D=books&amp;AN=01223034$&amp;XPATH=/PG(0)</v>
      </c>
      <c r="G662" s="2" t="s">
        <v>17</v>
      </c>
    </row>
    <row r="663" spans="1:7" x14ac:dyDescent="0.15">
      <c r="A663" s="2" t="s">
        <v>2005</v>
      </c>
      <c r="B663" s="2" t="s">
        <v>2006</v>
      </c>
      <c r="C663" s="2" t="s">
        <v>2007</v>
      </c>
      <c r="D663" s="2" t="s">
        <v>10</v>
      </c>
      <c r="E663" s="2" t="s">
        <v>53</v>
      </c>
      <c r="F663" s="3" t="str">
        <f>HYPERLINK("http://ovidsp.ovid.com/ovidweb.cgi?T=JS&amp;NEWS=n&amp;CSC=Y&amp;PAGE=booktext&amp;D=books&amp;AN=01279714$&amp;XPATH=/PG(0)","http://ovidsp.ovid.com/ovidweb.cgi?T=JS&amp;NEWS=n&amp;CSC=Y&amp;PAGE=booktext&amp;D=books&amp;AN=01279714$&amp;XPATH=/PG(0)")</f>
        <v>http://ovidsp.ovid.com/ovidweb.cgi?T=JS&amp;NEWS=n&amp;CSC=Y&amp;PAGE=booktext&amp;D=books&amp;AN=01279714$&amp;XPATH=/PG(0)</v>
      </c>
      <c r="G663" s="2" t="s">
        <v>17</v>
      </c>
    </row>
    <row r="664" spans="1:7" x14ac:dyDescent="0.15">
      <c r="A664" s="2" t="s">
        <v>2008</v>
      </c>
      <c r="B664" s="2" t="s">
        <v>2009</v>
      </c>
      <c r="C664" s="2" t="s">
        <v>2010</v>
      </c>
      <c r="D664" s="2" t="s">
        <v>10</v>
      </c>
      <c r="E664" s="2" t="s">
        <v>622</v>
      </c>
      <c r="F664" s="3" t="str">
        <f>HYPERLINK("http://ovidsp.ovid.com/ovidweb.cgi?T=JS&amp;NEWS=n&amp;CSC=Y&amp;PAGE=booktext&amp;D=books&amp;AN=00139985$&amp;XPATH=/PG(0)","http://ovidsp.ovid.com/ovidweb.cgi?T=JS&amp;NEWS=n&amp;CSC=Y&amp;PAGE=booktext&amp;D=books&amp;AN=00139985$&amp;XPATH=/PG(0)")</f>
        <v>http://ovidsp.ovid.com/ovidweb.cgi?T=JS&amp;NEWS=n&amp;CSC=Y&amp;PAGE=booktext&amp;D=books&amp;AN=00139985$&amp;XPATH=/PG(0)</v>
      </c>
      <c r="G664" s="2" t="s">
        <v>12</v>
      </c>
    </row>
    <row r="665" spans="1:7" x14ac:dyDescent="0.15">
      <c r="A665" s="2" t="s">
        <v>2011</v>
      </c>
      <c r="B665" s="2" t="s">
        <v>2012</v>
      </c>
      <c r="C665" s="2" t="s">
        <v>2013</v>
      </c>
      <c r="D665" s="2" t="s">
        <v>10</v>
      </c>
      <c r="E665" s="2" t="s">
        <v>16</v>
      </c>
      <c r="F665" s="3" t="str">
        <f>HYPERLINK("http://ovidsp.ovid.com/ovidweb.cgi?T=JS&amp;NEWS=n&amp;CSC=Y&amp;PAGE=booktext&amp;D=books&amp;AN=01382520$&amp;XPATH=/PG(0)","http://ovidsp.ovid.com/ovidweb.cgi?T=JS&amp;NEWS=n&amp;CSC=Y&amp;PAGE=booktext&amp;D=books&amp;AN=01382520$&amp;XPATH=/PG(0)")</f>
        <v>http://ovidsp.ovid.com/ovidweb.cgi?T=JS&amp;NEWS=n&amp;CSC=Y&amp;PAGE=booktext&amp;D=books&amp;AN=01382520$&amp;XPATH=/PG(0)</v>
      </c>
      <c r="G665" s="2" t="s">
        <v>17</v>
      </c>
    </row>
    <row r="666" spans="1:7" x14ac:dyDescent="0.15">
      <c r="A666" s="2" t="s">
        <v>2014</v>
      </c>
      <c r="B666" s="2" t="s">
        <v>2015</v>
      </c>
      <c r="C666" s="2" t="s">
        <v>2016</v>
      </c>
      <c r="D666" s="2" t="s">
        <v>10</v>
      </c>
      <c r="E666" s="2" t="s">
        <v>53</v>
      </c>
      <c r="F666" s="3" t="str">
        <f>HYPERLINK("http://ovidsp.ovid.com/ovidweb.cgi?T=JS&amp;NEWS=n&amp;CSC=Y&amp;PAGE=booktext&amp;D=books&amp;AN=01337654$&amp;XPATH=/PG(0)","http://ovidsp.ovid.com/ovidweb.cgi?T=JS&amp;NEWS=n&amp;CSC=Y&amp;PAGE=booktext&amp;D=books&amp;AN=01337654$&amp;XPATH=/PG(0)")</f>
        <v>http://ovidsp.ovid.com/ovidweb.cgi?T=JS&amp;NEWS=n&amp;CSC=Y&amp;PAGE=booktext&amp;D=books&amp;AN=01337654$&amp;XPATH=/PG(0)</v>
      </c>
      <c r="G666" s="2" t="s">
        <v>17</v>
      </c>
    </row>
    <row r="667" spans="1:7" x14ac:dyDescent="0.15">
      <c r="A667" s="2" t="s">
        <v>2017</v>
      </c>
      <c r="B667" s="2" t="s">
        <v>2018</v>
      </c>
      <c r="C667" s="2" t="s">
        <v>2019</v>
      </c>
      <c r="D667" s="2" t="s">
        <v>10</v>
      </c>
      <c r="E667" s="2" t="s">
        <v>16</v>
      </c>
      <c r="F667" s="3" t="str">
        <f>HYPERLINK("http://ovidsp.ovid.com/ovidweb.cgi?T=JS&amp;NEWS=n&amp;CSC=Y&amp;PAGE=booktext&amp;D=books&amp;AN=01382763$&amp;XPATH=/PG(0)","http://ovidsp.ovid.com/ovidweb.cgi?T=JS&amp;NEWS=n&amp;CSC=Y&amp;PAGE=booktext&amp;D=books&amp;AN=01382763$&amp;XPATH=/PG(0)")</f>
        <v>http://ovidsp.ovid.com/ovidweb.cgi?T=JS&amp;NEWS=n&amp;CSC=Y&amp;PAGE=booktext&amp;D=books&amp;AN=01382763$&amp;XPATH=/PG(0)</v>
      </c>
      <c r="G667" s="2" t="s">
        <v>12</v>
      </c>
    </row>
    <row r="668" spans="1:7" x14ac:dyDescent="0.15">
      <c r="A668" s="2" t="s">
        <v>2020</v>
      </c>
      <c r="B668" s="2" t="s">
        <v>2021</v>
      </c>
      <c r="C668" s="2" t="s">
        <v>2022</v>
      </c>
      <c r="D668" s="2" t="s">
        <v>10</v>
      </c>
      <c r="E668" s="2" t="s">
        <v>16</v>
      </c>
      <c r="F668" s="3" t="str">
        <f>HYPERLINK("http://ovidsp.ovid.com/ovidweb.cgi?T=JS&amp;NEWS=n&amp;CSC=Y&amp;PAGE=booktext&amp;D=books&amp;AN=01382764$&amp;XPATH=/PG(0)","http://ovidsp.ovid.com/ovidweb.cgi?T=JS&amp;NEWS=n&amp;CSC=Y&amp;PAGE=booktext&amp;D=books&amp;AN=01382764$&amp;XPATH=/PG(0)")</f>
        <v>http://ovidsp.ovid.com/ovidweb.cgi?T=JS&amp;NEWS=n&amp;CSC=Y&amp;PAGE=booktext&amp;D=books&amp;AN=01382764$&amp;XPATH=/PG(0)</v>
      </c>
      <c r="G668" s="2" t="s">
        <v>12</v>
      </c>
    </row>
    <row r="669" spans="1:7" x14ac:dyDescent="0.15">
      <c r="A669" s="2" t="s">
        <v>2023</v>
      </c>
      <c r="B669" s="2" t="s">
        <v>2024</v>
      </c>
      <c r="C669" s="2" t="s">
        <v>2025</v>
      </c>
      <c r="D669" s="2" t="s">
        <v>10</v>
      </c>
      <c r="E669" s="2" t="s">
        <v>16</v>
      </c>
      <c r="F669" s="3" t="str">
        <f>HYPERLINK("http://ovidsp.ovid.com/ovidweb.cgi?T=JS&amp;NEWS=n&amp;CSC=Y&amp;PAGE=booktext&amp;D=books&amp;AN=01382765$&amp;XPATH=/PG(0)","http://ovidsp.ovid.com/ovidweb.cgi?T=JS&amp;NEWS=n&amp;CSC=Y&amp;PAGE=booktext&amp;D=books&amp;AN=01382765$&amp;XPATH=/PG(0)")</f>
        <v>http://ovidsp.ovid.com/ovidweb.cgi?T=JS&amp;NEWS=n&amp;CSC=Y&amp;PAGE=booktext&amp;D=books&amp;AN=01382765$&amp;XPATH=/PG(0)</v>
      </c>
      <c r="G669" s="2" t="s">
        <v>12</v>
      </c>
    </row>
    <row r="670" spans="1:7" x14ac:dyDescent="0.15">
      <c r="A670" s="2" t="s">
        <v>2026</v>
      </c>
      <c r="B670" s="2" t="s">
        <v>2027</v>
      </c>
      <c r="C670" s="2" t="s">
        <v>2028</v>
      </c>
      <c r="D670" s="2" t="s">
        <v>10</v>
      </c>
      <c r="E670" s="2" t="s">
        <v>16</v>
      </c>
      <c r="F670" s="3" t="str">
        <f>HYPERLINK("http://ovidsp.ovid.com/ovidweb.cgi?T=JS&amp;NEWS=n&amp;CSC=Y&amp;PAGE=booktext&amp;D=books&amp;AN=01382841$&amp;XPATH=/PG(0)","http://ovidsp.ovid.com/ovidweb.cgi?T=JS&amp;NEWS=n&amp;CSC=Y&amp;PAGE=booktext&amp;D=books&amp;AN=01382841$&amp;XPATH=/PG(0)")</f>
        <v>http://ovidsp.ovid.com/ovidweb.cgi?T=JS&amp;NEWS=n&amp;CSC=Y&amp;PAGE=booktext&amp;D=books&amp;AN=01382841$&amp;XPATH=/PG(0)</v>
      </c>
      <c r="G670" s="2" t="s">
        <v>12</v>
      </c>
    </row>
    <row r="671" spans="1:7" x14ac:dyDescent="0.15">
      <c r="A671" s="2" t="s">
        <v>2029</v>
      </c>
      <c r="B671" s="2" t="s">
        <v>2030</v>
      </c>
      <c r="C671" s="2" t="s">
        <v>2031</v>
      </c>
      <c r="D671" s="2" t="s">
        <v>10</v>
      </c>
      <c r="E671" s="2" t="s">
        <v>16</v>
      </c>
      <c r="F671" s="3" t="str">
        <f>HYPERLINK("http://ovidsp.ovid.com/ovidweb.cgi?T=JS&amp;NEWS=n&amp;CSC=Y&amp;PAGE=booktext&amp;D=books&amp;AN=01382815$&amp;XPATH=/PG(0)","http://ovidsp.ovid.com/ovidweb.cgi?T=JS&amp;NEWS=n&amp;CSC=Y&amp;PAGE=booktext&amp;D=books&amp;AN=01382815$&amp;XPATH=/PG(0)")</f>
        <v>http://ovidsp.ovid.com/ovidweb.cgi?T=JS&amp;NEWS=n&amp;CSC=Y&amp;PAGE=booktext&amp;D=books&amp;AN=01382815$&amp;XPATH=/PG(0)</v>
      </c>
      <c r="G671" s="2" t="s">
        <v>12</v>
      </c>
    </row>
    <row r="672" spans="1:7" x14ac:dyDescent="0.15">
      <c r="A672" s="2" t="s">
        <v>2032</v>
      </c>
      <c r="B672" s="2" t="s">
        <v>2033</v>
      </c>
      <c r="C672" s="2" t="s">
        <v>2034</v>
      </c>
      <c r="D672" s="2" t="s">
        <v>10</v>
      </c>
      <c r="E672" s="2" t="s">
        <v>95</v>
      </c>
      <c r="F672" s="3" t="str">
        <f>HYPERLINK("http://ovidsp.ovid.com/ovidweb.cgi?T=JS&amp;NEWS=n&amp;CSC=Y&amp;PAGE=booktext&amp;D=books&amp;AN=01382811$&amp;XPATH=/PG(0)","http://ovidsp.ovid.com/ovidweb.cgi?T=JS&amp;NEWS=n&amp;CSC=Y&amp;PAGE=booktext&amp;D=books&amp;AN=01382811$&amp;XPATH=/PG(0)")</f>
        <v>http://ovidsp.ovid.com/ovidweb.cgi?T=JS&amp;NEWS=n&amp;CSC=Y&amp;PAGE=booktext&amp;D=books&amp;AN=01382811$&amp;XPATH=/PG(0)</v>
      </c>
      <c r="G672" s="2" t="s">
        <v>12</v>
      </c>
    </row>
    <row r="673" spans="1:7" x14ac:dyDescent="0.15">
      <c r="A673" s="2" t="s">
        <v>2035</v>
      </c>
      <c r="B673" s="2" t="s">
        <v>2036</v>
      </c>
      <c r="C673" s="2" t="s">
        <v>2037</v>
      </c>
      <c r="D673" s="2" t="s">
        <v>10</v>
      </c>
      <c r="E673" s="2" t="s">
        <v>16</v>
      </c>
      <c r="F673" s="3" t="str">
        <f>HYPERLINK("http://ovidsp.ovid.com/ovidweb.cgi?T=JS&amp;NEWS=n&amp;CSC=Y&amp;PAGE=booktext&amp;D=books&amp;AN=01382757$&amp;XPATH=/PG(0)","http://ovidsp.ovid.com/ovidweb.cgi?T=JS&amp;NEWS=n&amp;CSC=Y&amp;PAGE=booktext&amp;D=books&amp;AN=01382757$&amp;XPATH=/PG(0)")</f>
        <v>http://ovidsp.ovid.com/ovidweb.cgi?T=JS&amp;NEWS=n&amp;CSC=Y&amp;PAGE=booktext&amp;D=books&amp;AN=01382757$&amp;XPATH=/PG(0)</v>
      </c>
      <c r="G673" s="2" t="s">
        <v>12</v>
      </c>
    </row>
    <row r="674" spans="1:7" x14ac:dyDescent="0.15">
      <c r="A674" s="2" t="s">
        <v>2038</v>
      </c>
      <c r="B674" s="2" t="s">
        <v>2039</v>
      </c>
      <c r="C674" s="2" t="s">
        <v>2040</v>
      </c>
      <c r="D674" s="2" t="s">
        <v>10</v>
      </c>
      <c r="E674" s="2" t="s">
        <v>16</v>
      </c>
      <c r="F674" s="3" t="str">
        <f>HYPERLINK("http://ovidsp.ovid.com/ovidweb.cgi?T=JS&amp;NEWS=n&amp;CSC=Y&amp;PAGE=booktext&amp;D=books&amp;AN=01382883$&amp;XPATH=/PG(0)","http://ovidsp.ovid.com/ovidweb.cgi?T=JS&amp;NEWS=n&amp;CSC=Y&amp;PAGE=booktext&amp;D=books&amp;AN=01382883$&amp;XPATH=/PG(0)")</f>
        <v>http://ovidsp.ovid.com/ovidweb.cgi?T=JS&amp;NEWS=n&amp;CSC=Y&amp;PAGE=booktext&amp;D=books&amp;AN=01382883$&amp;XPATH=/PG(0)</v>
      </c>
      <c r="G674" s="2" t="s">
        <v>12</v>
      </c>
    </row>
    <row r="675" spans="1:7" x14ac:dyDescent="0.15">
      <c r="A675" s="2" t="s">
        <v>2041</v>
      </c>
      <c r="B675" s="2" t="s">
        <v>2042</v>
      </c>
      <c r="C675" s="2" t="s">
        <v>2043</v>
      </c>
      <c r="D675" s="2" t="s">
        <v>10</v>
      </c>
      <c r="E675" s="2" t="s">
        <v>49</v>
      </c>
      <c r="F675" s="3" t="str">
        <f>HYPERLINK("http://ovidsp.ovid.com/ovidweb.cgi?T=JS&amp;NEWS=n&amp;CSC=Y&amp;PAGE=booktext&amp;D=books&amp;AN=01382415$&amp;XPATH=/PG(0)","http://ovidsp.ovid.com/ovidweb.cgi?T=JS&amp;NEWS=n&amp;CSC=Y&amp;PAGE=booktext&amp;D=books&amp;AN=01382415$&amp;XPATH=/PG(0)")</f>
        <v>http://ovidsp.ovid.com/ovidweb.cgi?T=JS&amp;NEWS=n&amp;CSC=Y&amp;PAGE=booktext&amp;D=books&amp;AN=01382415$&amp;XPATH=/PG(0)</v>
      </c>
      <c r="G675" s="2" t="s">
        <v>17</v>
      </c>
    </row>
    <row r="676" spans="1:7" x14ac:dyDescent="0.15">
      <c r="A676" s="2" t="s">
        <v>2044</v>
      </c>
      <c r="B676" s="2" t="s">
        <v>2045</v>
      </c>
      <c r="C676" s="2" t="s">
        <v>2046</v>
      </c>
      <c r="D676" s="2" t="s">
        <v>10</v>
      </c>
      <c r="E676" s="2" t="s">
        <v>16</v>
      </c>
      <c r="F676" s="3" t="str">
        <f>HYPERLINK("http://ovidsp.ovid.com/ovidweb.cgi?T=JS&amp;NEWS=n&amp;CSC=Y&amp;PAGE=booktext&amp;D=books&amp;AN=01337656$&amp;XPATH=/PG(0)","http://ovidsp.ovid.com/ovidweb.cgi?T=JS&amp;NEWS=n&amp;CSC=Y&amp;PAGE=booktext&amp;D=books&amp;AN=01337656$&amp;XPATH=/PG(0)")</f>
        <v>http://ovidsp.ovid.com/ovidweb.cgi?T=JS&amp;NEWS=n&amp;CSC=Y&amp;PAGE=booktext&amp;D=books&amp;AN=01337656$&amp;XPATH=/PG(0)</v>
      </c>
      <c r="G676" s="2" t="s">
        <v>12</v>
      </c>
    </row>
    <row r="677" spans="1:7" x14ac:dyDescent="0.15">
      <c r="A677" s="2" t="s">
        <v>2047</v>
      </c>
      <c r="B677" s="2" t="s">
        <v>2048</v>
      </c>
      <c r="C677" s="2" t="s">
        <v>2049</v>
      </c>
      <c r="D677" s="2" t="s">
        <v>10</v>
      </c>
      <c r="E677" s="2" t="s">
        <v>45</v>
      </c>
      <c r="F677" s="3" t="str">
        <f>HYPERLINK("http://ovidsp.ovid.com/ovidweb.cgi?T=JS&amp;NEWS=n&amp;CSC=Y&amp;PAGE=booktext&amp;D=books&amp;AN=01382417$&amp;XPATH=/PG(0)","http://ovidsp.ovid.com/ovidweb.cgi?T=JS&amp;NEWS=n&amp;CSC=Y&amp;PAGE=booktext&amp;D=books&amp;AN=01382417$&amp;XPATH=/PG(0)")</f>
        <v>http://ovidsp.ovid.com/ovidweb.cgi?T=JS&amp;NEWS=n&amp;CSC=Y&amp;PAGE=booktext&amp;D=books&amp;AN=01382417$&amp;XPATH=/PG(0)</v>
      </c>
      <c r="G677" s="2" t="s">
        <v>17</v>
      </c>
    </row>
    <row r="678" spans="1:7" x14ac:dyDescent="0.15">
      <c r="A678" s="2" t="s">
        <v>2050</v>
      </c>
      <c r="B678" s="2" t="s">
        <v>2051</v>
      </c>
      <c r="C678" s="2" t="s">
        <v>2052</v>
      </c>
      <c r="D678" s="2" t="s">
        <v>10</v>
      </c>
      <c r="E678" s="2" t="s">
        <v>16</v>
      </c>
      <c r="F678" s="3" t="str">
        <f>HYPERLINK("http://ovidsp.ovid.com/ovidweb.cgi?T=JS&amp;NEWS=n&amp;CSC=Y&amp;PAGE=booktext&amp;D=books&amp;AN=01382649$&amp;XPATH=/PG(0)","http://ovidsp.ovid.com/ovidweb.cgi?T=JS&amp;NEWS=n&amp;CSC=Y&amp;PAGE=booktext&amp;D=books&amp;AN=01382649$&amp;XPATH=/PG(0)")</f>
        <v>http://ovidsp.ovid.com/ovidweb.cgi?T=JS&amp;NEWS=n&amp;CSC=Y&amp;PAGE=booktext&amp;D=books&amp;AN=01382649$&amp;XPATH=/PG(0)</v>
      </c>
      <c r="G678" s="2" t="s">
        <v>17</v>
      </c>
    </row>
    <row r="679" spans="1:7" x14ac:dyDescent="0.15">
      <c r="A679" s="2" t="s">
        <v>2053</v>
      </c>
      <c r="B679" s="2" t="s">
        <v>2054</v>
      </c>
      <c r="C679" s="2" t="s">
        <v>2055</v>
      </c>
      <c r="D679" s="2" t="s">
        <v>10</v>
      </c>
      <c r="E679" s="2" t="s">
        <v>45</v>
      </c>
      <c r="F679" s="3" t="str">
        <f>HYPERLINK("http://ovidsp.ovid.com/ovidweb.cgi?T=JS&amp;NEWS=n&amp;CSC=Y&amp;PAGE=booktext&amp;D=books&amp;AN=01337534$&amp;XPATH=/PG(0)","http://ovidsp.ovid.com/ovidweb.cgi?T=JS&amp;NEWS=n&amp;CSC=Y&amp;PAGE=booktext&amp;D=books&amp;AN=01337534$&amp;XPATH=/PG(0)")</f>
        <v>http://ovidsp.ovid.com/ovidweb.cgi?T=JS&amp;NEWS=n&amp;CSC=Y&amp;PAGE=booktext&amp;D=books&amp;AN=01337534$&amp;XPATH=/PG(0)</v>
      </c>
      <c r="G679" s="2" t="s">
        <v>17</v>
      </c>
    </row>
    <row r="680" spans="1:7" x14ac:dyDescent="0.15">
      <c r="A680" s="2" t="s">
        <v>2056</v>
      </c>
      <c r="B680" s="2" t="s">
        <v>2057</v>
      </c>
      <c r="C680" s="2" t="s">
        <v>2058</v>
      </c>
      <c r="D680" s="2" t="s">
        <v>10</v>
      </c>
      <c r="E680" s="2" t="s">
        <v>16</v>
      </c>
      <c r="F680" s="3" t="str">
        <f>HYPERLINK("http://ovidsp.ovid.com/ovidweb.cgi?T=JS&amp;NEWS=n&amp;CSC=Y&amp;PAGE=booktext&amp;D=books&amp;AN=01337535$&amp;XPATH=/PG(0)","http://ovidsp.ovid.com/ovidweb.cgi?T=JS&amp;NEWS=n&amp;CSC=Y&amp;PAGE=booktext&amp;D=books&amp;AN=01337535$&amp;XPATH=/PG(0)")</f>
        <v>http://ovidsp.ovid.com/ovidweb.cgi?T=JS&amp;NEWS=n&amp;CSC=Y&amp;PAGE=booktext&amp;D=books&amp;AN=01337535$&amp;XPATH=/PG(0)</v>
      </c>
      <c r="G680" s="2" t="s">
        <v>17</v>
      </c>
    </row>
    <row r="681" spans="1:7" x14ac:dyDescent="0.15">
      <c r="A681" s="2" t="s">
        <v>2059</v>
      </c>
      <c r="B681" s="2" t="s">
        <v>2060</v>
      </c>
      <c r="C681" s="2" t="s">
        <v>2061</v>
      </c>
      <c r="D681" s="2" t="s">
        <v>10</v>
      </c>
      <c r="E681" s="2" t="s">
        <v>45</v>
      </c>
      <c r="F681" s="3" t="str">
        <f>HYPERLINK("http://ovidsp.ovid.com/ovidweb.cgi?T=JS&amp;NEWS=n&amp;CSC=Y&amp;PAGE=booktext&amp;D=books&amp;AN=01382650$&amp;XPATH=/PG(0)","http://ovidsp.ovid.com/ovidweb.cgi?T=JS&amp;NEWS=n&amp;CSC=Y&amp;PAGE=booktext&amp;D=books&amp;AN=01382650$&amp;XPATH=/PG(0)")</f>
        <v>http://ovidsp.ovid.com/ovidweb.cgi?T=JS&amp;NEWS=n&amp;CSC=Y&amp;PAGE=booktext&amp;D=books&amp;AN=01382650$&amp;XPATH=/PG(0)</v>
      </c>
      <c r="G681" s="2" t="s">
        <v>17</v>
      </c>
    </row>
    <row r="682" spans="1:7" x14ac:dyDescent="0.15">
      <c r="A682" s="2" t="s">
        <v>2062</v>
      </c>
      <c r="B682" s="2" t="s">
        <v>2063</v>
      </c>
      <c r="C682" s="2" t="s">
        <v>2064</v>
      </c>
      <c r="D682" s="2" t="s">
        <v>10</v>
      </c>
      <c r="E682" s="2" t="s">
        <v>16</v>
      </c>
      <c r="F682" s="3" t="str">
        <f>HYPERLINK("http://ovidsp.ovid.com/ovidweb.cgi?T=JS&amp;NEWS=n&amp;CSC=Y&amp;PAGE=booktext&amp;D=books&amp;AN=01382651$&amp;XPATH=/PG(0)","http://ovidsp.ovid.com/ovidweb.cgi?T=JS&amp;NEWS=n&amp;CSC=Y&amp;PAGE=booktext&amp;D=books&amp;AN=01382651$&amp;XPATH=/PG(0)")</f>
        <v>http://ovidsp.ovid.com/ovidweb.cgi?T=JS&amp;NEWS=n&amp;CSC=Y&amp;PAGE=booktext&amp;D=books&amp;AN=01382651$&amp;XPATH=/PG(0)</v>
      </c>
      <c r="G682" s="2" t="s">
        <v>17</v>
      </c>
    </row>
    <row r="683" spans="1:7" x14ac:dyDescent="0.15">
      <c r="A683" s="2" t="s">
        <v>2065</v>
      </c>
      <c r="B683" s="2" t="s">
        <v>2066</v>
      </c>
      <c r="C683" s="2" t="s">
        <v>2067</v>
      </c>
      <c r="D683" s="2" t="s">
        <v>10</v>
      </c>
      <c r="E683" s="2" t="s">
        <v>235</v>
      </c>
      <c r="F683" s="3" t="str">
        <f>HYPERLINK("http://ovidsp.ovid.com/ovidweb.cgi?T=JS&amp;NEWS=n&amp;CSC=Y&amp;PAGE=booktext&amp;D=books&amp;AN=01279695$&amp;XPATH=/PG(0)","http://ovidsp.ovid.com/ovidweb.cgi?T=JS&amp;NEWS=n&amp;CSC=Y&amp;PAGE=booktext&amp;D=books&amp;AN=01279695$&amp;XPATH=/PG(0)")</f>
        <v>http://ovidsp.ovid.com/ovidweb.cgi?T=JS&amp;NEWS=n&amp;CSC=Y&amp;PAGE=booktext&amp;D=books&amp;AN=01279695$&amp;XPATH=/PG(0)</v>
      </c>
      <c r="G683" s="2" t="s">
        <v>17</v>
      </c>
    </row>
    <row r="684" spans="1:7" x14ac:dyDescent="0.15">
      <c r="A684" s="2" t="s">
        <v>2068</v>
      </c>
      <c r="B684" s="2" t="s">
        <v>2069</v>
      </c>
      <c r="C684" s="2" t="s">
        <v>2070</v>
      </c>
      <c r="D684" s="2" t="s">
        <v>10</v>
      </c>
      <c r="E684" s="2" t="s">
        <v>16</v>
      </c>
      <c r="F684" s="3" t="str">
        <f>HYPERLINK("http://ovidsp.ovid.com/ovidweb.cgi?T=JS&amp;NEWS=n&amp;CSC=Y&amp;PAGE=booktext&amp;D=books&amp;AN=01382652$&amp;XPATH=/PG(0)","http://ovidsp.ovid.com/ovidweb.cgi?T=JS&amp;NEWS=n&amp;CSC=Y&amp;PAGE=booktext&amp;D=books&amp;AN=01382652$&amp;XPATH=/PG(0)")</f>
        <v>http://ovidsp.ovid.com/ovidweb.cgi?T=JS&amp;NEWS=n&amp;CSC=Y&amp;PAGE=booktext&amp;D=books&amp;AN=01382652$&amp;XPATH=/PG(0)</v>
      </c>
      <c r="G684" s="2" t="s">
        <v>17</v>
      </c>
    </row>
    <row r="685" spans="1:7" x14ac:dyDescent="0.15">
      <c r="A685" s="2" t="s">
        <v>2071</v>
      </c>
      <c r="B685" s="2" t="s">
        <v>2072</v>
      </c>
      <c r="C685" s="2" t="s">
        <v>2073</v>
      </c>
      <c r="D685" s="2" t="s">
        <v>10</v>
      </c>
      <c r="E685" s="2" t="s">
        <v>16</v>
      </c>
      <c r="F685" s="3" t="str">
        <f>HYPERLINK("http://ovidsp.ovid.com/ovidweb.cgi?T=JS&amp;NEWS=n&amp;CSC=Y&amp;PAGE=booktext&amp;D=books&amp;AN=01382589$&amp;XPATH=/PG(0)","http://ovidsp.ovid.com/ovidweb.cgi?T=JS&amp;NEWS=n&amp;CSC=Y&amp;PAGE=booktext&amp;D=books&amp;AN=01382589$&amp;XPATH=/PG(0)")</f>
        <v>http://ovidsp.ovid.com/ovidweb.cgi?T=JS&amp;NEWS=n&amp;CSC=Y&amp;PAGE=booktext&amp;D=books&amp;AN=01382589$&amp;XPATH=/PG(0)</v>
      </c>
      <c r="G685" s="2" t="s">
        <v>17</v>
      </c>
    </row>
    <row r="686" spans="1:7" x14ac:dyDescent="0.15">
      <c r="A686" s="2" t="s">
        <v>2074</v>
      </c>
      <c r="B686" s="2" t="s">
        <v>2075</v>
      </c>
      <c r="C686" s="2" t="s">
        <v>2076</v>
      </c>
      <c r="D686" s="2" t="s">
        <v>10</v>
      </c>
      <c r="E686" s="2" t="s">
        <v>16</v>
      </c>
      <c r="F686" s="3" t="str">
        <f>HYPERLINK("http://ovidsp.ovid.com/ovidweb.cgi?T=JS&amp;NEWS=n&amp;CSC=Y&amp;PAGE=booktext&amp;D=books&amp;AN=01279696$&amp;XPATH=/PG(0)","http://ovidsp.ovid.com/ovidweb.cgi?T=JS&amp;NEWS=n&amp;CSC=Y&amp;PAGE=booktext&amp;D=books&amp;AN=01279696$&amp;XPATH=/PG(0)")</f>
        <v>http://ovidsp.ovid.com/ovidweb.cgi?T=JS&amp;NEWS=n&amp;CSC=Y&amp;PAGE=booktext&amp;D=books&amp;AN=01279696$&amp;XPATH=/PG(0)</v>
      </c>
      <c r="G686" s="2" t="s">
        <v>17</v>
      </c>
    </row>
    <row r="687" spans="1:7" x14ac:dyDescent="0.15">
      <c r="A687" s="2" t="s">
        <v>2077</v>
      </c>
      <c r="B687" s="2" t="s">
        <v>2078</v>
      </c>
      <c r="C687" s="2" t="s">
        <v>2079</v>
      </c>
      <c r="D687" s="2" t="s">
        <v>10</v>
      </c>
      <c r="E687" s="2" t="s">
        <v>49</v>
      </c>
      <c r="F687" s="3" t="str">
        <f>HYPERLINK("http://ovidsp.ovid.com/ovidweb.cgi?T=JS&amp;NEWS=n&amp;CSC=Y&amp;PAGE=booktext&amp;D=books&amp;AN=00139987$&amp;XPATH=/PG(0)","http://ovidsp.ovid.com/ovidweb.cgi?T=JS&amp;NEWS=n&amp;CSC=Y&amp;PAGE=booktext&amp;D=books&amp;AN=00139987$&amp;XPATH=/PG(0)")</f>
        <v>http://ovidsp.ovid.com/ovidweb.cgi?T=JS&amp;NEWS=n&amp;CSC=Y&amp;PAGE=booktext&amp;D=books&amp;AN=00139987$&amp;XPATH=/PG(0)</v>
      </c>
      <c r="G687" s="2" t="s">
        <v>17</v>
      </c>
    </row>
    <row r="688" spans="1:7" x14ac:dyDescent="0.15">
      <c r="A688" s="2" t="s">
        <v>2080</v>
      </c>
      <c r="B688" s="2" t="s">
        <v>2081</v>
      </c>
      <c r="C688" s="2" t="s">
        <v>2082</v>
      </c>
      <c r="D688" s="2" t="s">
        <v>10</v>
      </c>
      <c r="E688" s="2" t="s">
        <v>45</v>
      </c>
      <c r="F688" s="3" t="str">
        <f>HYPERLINK("http://ovidsp.ovid.com/ovidweb.cgi?T=JS&amp;NEWS=n&amp;CSC=Y&amp;PAGE=booktext&amp;D=books&amp;AN=01337353$&amp;XPATH=/PG(0)","http://ovidsp.ovid.com/ovidweb.cgi?T=JS&amp;NEWS=n&amp;CSC=Y&amp;PAGE=booktext&amp;D=books&amp;AN=01337353$&amp;XPATH=/PG(0)")</f>
        <v>http://ovidsp.ovid.com/ovidweb.cgi?T=JS&amp;NEWS=n&amp;CSC=Y&amp;PAGE=booktext&amp;D=books&amp;AN=01337353$&amp;XPATH=/PG(0)</v>
      </c>
      <c r="G688" s="2" t="s">
        <v>17</v>
      </c>
    </row>
    <row r="689" spans="1:7" x14ac:dyDescent="0.15">
      <c r="A689" s="2" t="s">
        <v>2083</v>
      </c>
      <c r="B689" s="2" t="s">
        <v>2084</v>
      </c>
      <c r="C689" s="2" t="s">
        <v>2085</v>
      </c>
      <c r="D689" s="2" t="s">
        <v>10</v>
      </c>
      <c r="E689" s="2" t="s">
        <v>45</v>
      </c>
      <c r="F689" s="3" t="str">
        <f>HYPERLINK("http://ovidsp.ovid.com/ovidweb.cgi?T=JS&amp;NEWS=n&amp;CSC=Y&amp;PAGE=booktext&amp;D=books&amp;AN=01279760$&amp;XPATH=/PG(0)","http://ovidsp.ovid.com/ovidweb.cgi?T=JS&amp;NEWS=n&amp;CSC=Y&amp;PAGE=booktext&amp;D=books&amp;AN=01279760$&amp;XPATH=/PG(0)")</f>
        <v>http://ovidsp.ovid.com/ovidweb.cgi?T=JS&amp;NEWS=n&amp;CSC=Y&amp;PAGE=booktext&amp;D=books&amp;AN=01279760$&amp;XPATH=/PG(0)</v>
      </c>
      <c r="G689" s="2" t="s">
        <v>17</v>
      </c>
    </row>
    <row r="690" spans="1:7" x14ac:dyDescent="0.15">
      <c r="A690" s="2" t="s">
        <v>2086</v>
      </c>
      <c r="B690" s="2" t="s">
        <v>2087</v>
      </c>
      <c r="C690" s="2" t="s">
        <v>2088</v>
      </c>
      <c r="D690" s="2" t="s">
        <v>10</v>
      </c>
      <c r="E690" s="2" t="s">
        <v>95</v>
      </c>
      <c r="F690" s="3" t="str">
        <f>HYPERLINK("http://ovidsp.ovid.com/ovidweb.cgi?T=JS&amp;NEWS=n&amp;CSC=Y&amp;PAGE=booktext&amp;D=books&amp;AN=01337537$&amp;XPATH=/PG(0)","http://ovidsp.ovid.com/ovidweb.cgi?T=JS&amp;NEWS=n&amp;CSC=Y&amp;PAGE=booktext&amp;D=books&amp;AN=01337537$&amp;XPATH=/PG(0)")</f>
        <v>http://ovidsp.ovid.com/ovidweb.cgi?T=JS&amp;NEWS=n&amp;CSC=Y&amp;PAGE=booktext&amp;D=books&amp;AN=01337537$&amp;XPATH=/PG(0)</v>
      </c>
      <c r="G690" s="2" t="s">
        <v>17</v>
      </c>
    </row>
    <row r="691" spans="1:7" x14ac:dyDescent="0.15">
      <c r="A691" s="2" t="s">
        <v>2089</v>
      </c>
      <c r="B691" s="2" t="s">
        <v>2090</v>
      </c>
      <c r="C691" s="2" t="s">
        <v>2091</v>
      </c>
      <c r="D691" s="2" t="s">
        <v>10</v>
      </c>
      <c r="E691" s="2" t="s">
        <v>16</v>
      </c>
      <c r="F691" s="3" t="str">
        <f>HYPERLINK("http://ovidsp.ovid.com/ovidweb.cgi?T=JS&amp;NEWS=n&amp;CSC=Y&amp;PAGE=booktext&amp;D=books&amp;AN=01382653$&amp;XPATH=/PG(0)","http://ovidsp.ovid.com/ovidweb.cgi?T=JS&amp;NEWS=n&amp;CSC=Y&amp;PAGE=booktext&amp;D=books&amp;AN=01382653$&amp;XPATH=/PG(0)")</f>
        <v>http://ovidsp.ovid.com/ovidweb.cgi?T=JS&amp;NEWS=n&amp;CSC=Y&amp;PAGE=booktext&amp;D=books&amp;AN=01382653$&amp;XPATH=/PG(0)</v>
      </c>
      <c r="G691" s="2" t="s">
        <v>12</v>
      </c>
    </row>
    <row r="692" spans="1:7" x14ac:dyDescent="0.15">
      <c r="A692" s="2" t="s">
        <v>2092</v>
      </c>
      <c r="B692" s="2" t="s">
        <v>2093</v>
      </c>
      <c r="C692" s="2" t="s">
        <v>2094</v>
      </c>
      <c r="D692" s="2" t="s">
        <v>10</v>
      </c>
      <c r="E692" s="2" t="s">
        <v>16</v>
      </c>
      <c r="F692" s="3" t="str">
        <f>HYPERLINK("http://ovidsp.ovid.com/ovidweb.cgi?T=JS&amp;NEWS=n&amp;CSC=Y&amp;PAGE=booktext&amp;D=books&amp;AN=01257031$&amp;XPATH=/PG(0)","http://ovidsp.ovid.com/ovidweb.cgi?T=JS&amp;NEWS=n&amp;CSC=Y&amp;PAGE=booktext&amp;D=books&amp;AN=01257031$&amp;XPATH=/PG(0)")</f>
        <v>http://ovidsp.ovid.com/ovidweb.cgi?T=JS&amp;NEWS=n&amp;CSC=Y&amp;PAGE=booktext&amp;D=books&amp;AN=01257031$&amp;XPATH=/PG(0)</v>
      </c>
      <c r="G692" s="2" t="s">
        <v>17</v>
      </c>
    </row>
    <row r="693" spans="1:7" x14ac:dyDescent="0.15">
      <c r="A693" s="2" t="s">
        <v>2095</v>
      </c>
      <c r="B693" s="2" t="s">
        <v>2096</v>
      </c>
      <c r="C693" s="2" t="s">
        <v>2097</v>
      </c>
      <c r="D693" s="2" t="s">
        <v>10</v>
      </c>
      <c r="E693" s="2" t="s">
        <v>45</v>
      </c>
      <c r="F693" s="3" t="str">
        <f>HYPERLINK("http://ovidsp.ovid.com/ovidweb.cgi?T=JS&amp;NEWS=n&amp;CSC=Y&amp;PAGE=booktext&amp;D=books&amp;AN=01382501$&amp;XPATH=/PG(0)","http://ovidsp.ovid.com/ovidweb.cgi?T=JS&amp;NEWS=n&amp;CSC=Y&amp;PAGE=booktext&amp;D=books&amp;AN=01382501$&amp;XPATH=/PG(0)")</f>
        <v>http://ovidsp.ovid.com/ovidweb.cgi?T=JS&amp;NEWS=n&amp;CSC=Y&amp;PAGE=booktext&amp;D=books&amp;AN=01382501$&amp;XPATH=/PG(0)</v>
      </c>
      <c r="G693" s="2" t="s">
        <v>12</v>
      </c>
    </row>
    <row r="694" spans="1:7" x14ac:dyDescent="0.15">
      <c r="A694" s="2" t="s">
        <v>2098</v>
      </c>
      <c r="B694" s="2" t="s">
        <v>2099</v>
      </c>
      <c r="C694" s="2" t="s">
        <v>2100</v>
      </c>
      <c r="D694" s="2" t="s">
        <v>10</v>
      </c>
      <c r="E694" s="2" t="s">
        <v>45</v>
      </c>
      <c r="F694" s="3" t="str">
        <f>HYPERLINK("http://ovidsp.ovid.com/ovidweb.cgi?T=JS&amp;NEWS=n&amp;CSC=Y&amp;PAGE=booktext&amp;D=books&amp;AN=01256975$&amp;XPATH=/PG(0)","http://ovidsp.ovid.com/ovidweb.cgi?T=JS&amp;NEWS=n&amp;CSC=Y&amp;PAGE=booktext&amp;D=books&amp;AN=01256975$&amp;XPATH=/PG(0)")</f>
        <v>http://ovidsp.ovid.com/ovidweb.cgi?T=JS&amp;NEWS=n&amp;CSC=Y&amp;PAGE=booktext&amp;D=books&amp;AN=01256975$&amp;XPATH=/PG(0)</v>
      </c>
      <c r="G694" s="2" t="s">
        <v>17</v>
      </c>
    </row>
    <row r="695" spans="1:7" x14ac:dyDescent="0.15">
      <c r="A695" s="2" t="s">
        <v>2101</v>
      </c>
      <c r="B695" s="2" t="s">
        <v>2102</v>
      </c>
      <c r="C695" s="2" t="s">
        <v>2103</v>
      </c>
      <c r="D695" s="2" t="s">
        <v>10</v>
      </c>
      <c r="E695" s="2" t="s">
        <v>45</v>
      </c>
      <c r="F695" s="3" t="str">
        <f>HYPERLINK("http://ovidsp.ovid.com/ovidweb.cgi?T=JS&amp;NEWS=n&amp;CSC=Y&amp;PAGE=booktext&amp;D=books&amp;AN=01337570$&amp;XPATH=/PG(0)","http://ovidsp.ovid.com/ovidweb.cgi?T=JS&amp;NEWS=n&amp;CSC=Y&amp;PAGE=booktext&amp;D=books&amp;AN=01337570$&amp;XPATH=/PG(0)")</f>
        <v>http://ovidsp.ovid.com/ovidweb.cgi?T=JS&amp;NEWS=n&amp;CSC=Y&amp;PAGE=booktext&amp;D=books&amp;AN=01337570$&amp;XPATH=/PG(0)</v>
      </c>
      <c r="G695" s="2" t="s">
        <v>17</v>
      </c>
    </row>
    <row r="696" spans="1:7" x14ac:dyDescent="0.15">
      <c r="A696" s="2" t="s">
        <v>2104</v>
      </c>
      <c r="B696" s="2" t="s">
        <v>2105</v>
      </c>
      <c r="C696" s="2" t="s">
        <v>2106</v>
      </c>
      <c r="D696" s="2" t="s">
        <v>10</v>
      </c>
      <c r="E696" s="2" t="s">
        <v>16</v>
      </c>
      <c r="F696" s="3" t="str">
        <f>HYPERLINK("http://ovidsp.ovid.com/ovidweb.cgi?T=JS&amp;NEWS=n&amp;CSC=Y&amp;PAGE=booktext&amp;D=books&amp;AN=00139988$&amp;XPATH=/PG(0)","http://ovidsp.ovid.com/ovidweb.cgi?T=JS&amp;NEWS=n&amp;CSC=Y&amp;PAGE=booktext&amp;D=books&amp;AN=00139988$&amp;XPATH=/PG(0)")</f>
        <v>http://ovidsp.ovid.com/ovidweb.cgi?T=JS&amp;NEWS=n&amp;CSC=Y&amp;PAGE=booktext&amp;D=books&amp;AN=00139988$&amp;XPATH=/PG(0)</v>
      </c>
      <c r="G696" s="2" t="s">
        <v>17</v>
      </c>
    </row>
    <row r="697" spans="1:7" x14ac:dyDescent="0.15">
      <c r="A697" s="2" t="s">
        <v>2107</v>
      </c>
      <c r="B697" s="2" t="s">
        <v>2108</v>
      </c>
      <c r="C697" s="2" t="s">
        <v>2109</v>
      </c>
      <c r="D697" s="2" t="s">
        <v>10</v>
      </c>
      <c r="E697" s="2" t="s">
        <v>16</v>
      </c>
      <c r="F697" s="3" t="str">
        <f>HYPERLINK("http://ovidsp.ovid.com/ovidweb.cgi?T=JS&amp;NEWS=n&amp;CSC=Y&amp;PAGE=booktext&amp;D=books&amp;AN=00139989$&amp;XPATH=/PG(0)","http://ovidsp.ovid.com/ovidweb.cgi?T=JS&amp;NEWS=n&amp;CSC=Y&amp;PAGE=booktext&amp;D=books&amp;AN=00139989$&amp;XPATH=/PG(0)")</f>
        <v>http://ovidsp.ovid.com/ovidweb.cgi?T=JS&amp;NEWS=n&amp;CSC=Y&amp;PAGE=booktext&amp;D=books&amp;AN=00139989$&amp;XPATH=/PG(0)</v>
      </c>
      <c r="G697" s="2" t="s">
        <v>17</v>
      </c>
    </row>
    <row r="698" spans="1:7" x14ac:dyDescent="0.15">
      <c r="A698" s="2" t="s">
        <v>2110</v>
      </c>
      <c r="B698" s="2" t="s">
        <v>2111</v>
      </c>
      <c r="C698" s="2" t="s">
        <v>2112</v>
      </c>
      <c r="D698" s="2" t="s">
        <v>10</v>
      </c>
      <c r="E698" s="2" t="s">
        <v>16</v>
      </c>
      <c r="F698" s="3" t="str">
        <f>HYPERLINK("http://ovidsp.ovid.com/ovidweb.cgi?T=JS&amp;NEWS=n&amp;CSC=Y&amp;PAGE=booktext&amp;D=books&amp;AN=00139990$&amp;XPATH=/PG(0)","http://ovidsp.ovid.com/ovidweb.cgi?T=JS&amp;NEWS=n&amp;CSC=Y&amp;PAGE=booktext&amp;D=books&amp;AN=00139990$&amp;XPATH=/PG(0)")</f>
        <v>http://ovidsp.ovid.com/ovidweb.cgi?T=JS&amp;NEWS=n&amp;CSC=Y&amp;PAGE=booktext&amp;D=books&amp;AN=00139990$&amp;XPATH=/PG(0)</v>
      </c>
      <c r="G698" s="2" t="s">
        <v>12</v>
      </c>
    </row>
    <row r="699" spans="1:7" x14ac:dyDescent="0.15">
      <c r="A699" s="2" t="s">
        <v>2113</v>
      </c>
      <c r="B699" s="2" t="s">
        <v>2114</v>
      </c>
      <c r="C699" s="2" t="s">
        <v>2115</v>
      </c>
      <c r="D699" s="2" t="s">
        <v>10</v>
      </c>
      <c r="E699" s="2" t="s">
        <v>16</v>
      </c>
      <c r="F699" s="3" t="str">
        <f>HYPERLINK("http://ovidsp.ovid.com/ovidweb.cgi?T=JS&amp;NEWS=n&amp;CSC=Y&amp;PAGE=booktext&amp;D=books&amp;AN=01382657$&amp;XPATH=/PG(0)","http://ovidsp.ovid.com/ovidweb.cgi?T=JS&amp;NEWS=n&amp;CSC=Y&amp;PAGE=booktext&amp;D=books&amp;AN=01382657$&amp;XPATH=/PG(0)")</f>
        <v>http://ovidsp.ovid.com/ovidweb.cgi?T=JS&amp;NEWS=n&amp;CSC=Y&amp;PAGE=booktext&amp;D=books&amp;AN=01382657$&amp;XPATH=/PG(0)</v>
      </c>
      <c r="G699" s="2" t="s">
        <v>17</v>
      </c>
    </row>
    <row r="700" spans="1:7" x14ac:dyDescent="0.15">
      <c r="A700" s="2" t="s">
        <v>2116</v>
      </c>
      <c r="B700" s="2" t="s">
        <v>2117</v>
      </c>
      <c r="C700" s="2" t="s">
        <v>2118</v>
      </c>
      <c r="D700" s="2" t="s">
        <v>10</v>
      </c>
      <c r="E700" s="2" t="s">
        <v>49</v>
      </c>
      <c r="F700" s="3" t="str">
        <f>HYPERLINK("http://ovidsp.ovid.com/ovidweb.cgi?T=JS&amp;NEWS=n&amp;CSC=Y&amp;PAGE=booktext&amp;D=books&amp;AN=00139993$&amp;XPATH=/PG(0)","http://ovidsp.ovid.com/ovidweb.cgi?T=JS&amp;NEWS=n&amp;CSC=Y&amp;PAGE=booktext&amp;D=books&amp;AN=00139993$&amp;XPATH=/PG(0)")</f>
        <v>http://ovidsp.ovid.com/ovidweb.cgi?T=JS&amp;NEWS=n&amp;CSC=Y&amp;PAGE=booktext&amp;D=books&amp;AN=00139993$&amp;XPATH=/PG(0)</v>
      </c>
      <c r="G700" s="2" t="s">
        <v>17</v>
      </c>
    </row>
    <row r="701" spans="1:7" x14ac:dyDescent="0.15">
      <c r="A701" s="2" t="s">
        <v>2119</v>
      </c>
      <c r="B701" s="2" t="s">
        <v>2120</v>
      </c>
      <c r="C701" s="2" t="s">
        <v>2121</v>
      </c>
      <c r="D701" s="2" t="s">
        <v>10</v>
      </c>
      <c r="E701" s="2" t="s">
        <v>95</v>
      </c>
      <c r="F701" s="3" t="str">
        <f>HYPERLINK("http://ovidsp.ovid.com/ovidweb.cgi?T=JS&amp;NEWS=n&amp;CSC=Y&amp;PAGE=booktext&amp;D=books&amp;AN=00139991$&amp;XPATH=/PG(0)","http://ovidsp.ovid.com/ovidweb.cgi?T=JS&amp;NEWS=n&amp;CSC=Y&amp;PAGE=booktext&amp;D=books&amp;AN=00139991$&amp;XPATH=/PG(0)")</f>
        <v>http://ovidsp.ovid.com/ovidweb.cgi?T=JS&amp;NEWS=n&amp;CSC=Y&amp;PAGE=booktext&amp;D=books&amp;AN=00139991$&amp;XPATH=/PG(0)</v>
      </c>
      <c r="G701" s="2" t="s">
        <v>17</v>
      </c>
    </row>
    <row r="702" spans="1:7" x14ac:dyDescent="0.15">
      <c r="A702" s="2" t="s">
        <v>2122</v>
      </c>
      <c r="B702" s="2" t="s">
        <v>2123</v>
      </c>
      <c r="C702" s="2" t="s">
        <v>2124</v>
      </c>
      <c r="D702" s="2" t="s">
        <v>10</v>
      </c>
      <c r="E702" s="2" t="s">
        <v>49</v>
      </c>
      <c r="F702" s="3" t="str">
        <f>HYPERLINK("http://ovidsp.ovid.com/ovidweb.cgi?T=JS&amp;NEWS=n&amp;CSC=Y&amp;PAGE=booktext&amp;D=books&amp;AN=00149846$&amp;XPATH=/PG(0)","http://ovidsp.ovid.com/ovidweb.cgi?T=JS&amp;NEWS=n&amp;CSC=Y&amp;PAGE=booktext&amp;D=books&amp;AN=00149846$&amp;XPATH=/PG(0)")</f>
        <v>http://ovidsp.ovid.com/ovidweb.cgi?T=JS&amp;NEWS=n&amp;CSC=Y&amp;PAGE=booktext&amp;D=books&amp;AN=00149846$&amp;XPATH=/PG(0)</v>
      </c>
      <c r="G702" s="2" t="s">
        <v>17</v>
      </c>
    </row>
    <row r="703" spans="1:7" x14ac:dyDescent="0.15">
      <c r="A703" s="2" t="s">
        <v>2125</v>
      </c>
      <c r="B703" s="2" t="s">
        <v>2126</v>
      </c>
      <c r="C703" s="2" t="s">
        <v>2127</v>
      </c>
      <c r="D703" s="2" t="s">
        <v>10</v>
      </c>
      <c r="E703" s="2" t="s">
        <v>95</v>
      </c>
      <c r="F703" s="3" t="str">
        <f>HYPERLINK("http://ovidsp.ovid.com/ovidweb.cgi?T=JS&amp;NEWS=n&amp;CSC=Y&amp;PAGE=booktext&amp;D=books&amp;AN=00139994$&amp;XPATH=/PG(0)","http://ovidsp.ovid.com/ovidweb.cgi?T=JS&amp;NEWS=n&amp;CSC=Y&amp;PAGE=booktext&amp;D=books&amp;AN=00139994$&amp;XPATH=/PG(0)")</f>
        <v>http://ovidsp.ovid.com/ovidweb.cgi?T=JS&amp;NEWS=n&amp;CSC=Y&amp;PAGE=booktext&amp;D=books&amp;AN=00139994$&amp;XPATH=/PG(0)</v>
      </c>
      <c r="G703" s="2" t="s">
        <v>17</v>
      </c>
    </row>
    <row r="704" spans="1:7" x14ac:dyDescent="0.15">
      <c r="A704" s="2" t="s">
        <v>2128</v>
      </c>
      <c r="B704" s="2" t="s">
        <v>2129</v>
      </c>
      <c r="C704" s="2" t="s">
        <v>2130</v>
      </c>
      <c r="D704" s="2" t="s">
        <v>10</v>
      </c>
      <c r="E704" s="2" t="s">
        <v>45</v>
      </c>
      <c r="F704" s="3" t="str">
        <f>HYPERLINK("http://ovidsp.ovid.com/ovidweb.cgi?T=JS&amp;NEWS=n&amp;CSC=Y&amp;PAGE=booktext&amp;D=books&amp;AN=01273131$&amp;XPATH=/PG(0)","http://ovidsp.ovid.com/ovidweb.cgi?T=JS&amp;NEWS=n&amp;CSC=Y&amp;PAGE=booktext&amp;D=books&amp;AN=01273131$&amp;XPATH=/PG(0)")</f>
        <v>http://ovidsp.ovid.com/ovidweb.cgi?T=JS&amp;NEWS=n&amp;CSC=Y&amp;PAGE=booktext&amp;D=books&amp;AN=01273131$&amp;XPATH=/PG(0)</v>
      </c>
      <c r="G704" s="2" t="s">
        <v>17</v>
      </c>
    </row>
    <row r="705" spans="1:7" x14ac:dyDescent="0.15">
      <c r="A705" s="2" t="s">
        <v>2131</v>
      </c>
      <c r="B705" s="2" t="s">
        <v>2132</v>
      </c>
      <c r="C705" s="2" t="s">
        <v>2133</v>
      </c>
      <c r="D705" s="2" t="s">
        <v>10</v>
      </c>
      <c r="E705" s="2" t="s">
        <v>16</v>
      </c>
      <c r="F705" s="3" t="str">
        <f>HYPERLINK("http://ovidsp.ovid.com/ovidweb.cgi?T=JS&amp;NEWS=n&amp;CSC=Y&amp;PAGE=booktext&amp;D=books&amp;AN=01382492$&amp;XPATH=/PG(0)","http://ovidsp.ovid.com/ovidweb.cgi?T=JS&amp;NEWS=n&amp;CSC=Y&amp;PAGE=booktext&amp;D=books&amp;AN=01382492$&amp;XPATH=/PG(0)")</f>
        <v>http://ovidsp.ovid.com/ovidweb.cgi?T=JS&amp;NEWS=n&amp;CSC=Y&amp;PAGE=booktext&amp;D=books&amp;AN=01382492$&amp;XPATH=/PG(0)</v>
      </c>
      <c r="G705" s="2" t="s">
        <v>17</v>
      </c>
    </row>
    <row r="706" spans="1:7" x14ac:dyDescent="0.15">
      <c r="A706" s="2" t="s">
        <v>2134</v>
      </c>
      <c r="B706" s="2" t="s">
        <v>2135</v>
      </c>
      <c r="C706" s="2" t="s">
        <v>2136</v>
      </c>
      <c r="D706" s="2" t="s">
        <v>10</v>
      </c>
      <c r="E706" s="2" t="s">
        <v>49</v>
      </c>
      <c r="F706" s="3" t="str">
        <f>HYPERLINK("http://ovidsp.ovid.com/ovidweb.cgi?T=JS&amp;NEWS=n&amp;CSC=Y&amp;PAGE=booktext&amp;D=books&amp;AN=01223035$&amp;XPATH=/PG(0)","http://ovidsp.ovid.com/ovidweb.cgi?T=JS&amp;NEWS=n&amp;CSC=Y&amp;PAGE=booktext&amp;D=books&amp;AN=01223035$&amp;XPATH=/PG(0)")</f>
        <v>http://ovidsp.ovid.com/ovidweb.cgi?T=JS&amp;NEWS=n&amp;CSC=Y&amp;PAGE=booktext&amp;D=books&amp;AN=01223035$&amp;XPATH=/PG(0)</v>
      </c>
      <c r="G706" s="2" t="s">
        <v>17</v>
      </c>
    </row>
    <row r="707" spans="1:7" x14ac:dyDescent="0.15">
      <c r="A707" s="2" t="s">
        <v>2137</v>
      </c>
      <c r="B707" s="2" t="s">
        <v>2138</v>
      </c>
      <c r="C707" s="2" t="s">
        <v>2139</v>
      </c>
      <c r="D707" s="2" t="s">
        <v>10</v>
      </c>
      <c r="E707" s="2" t="s">
        <v>53</v>
      </c>
      <c r="F707" s="3" t="str">
        <f>HYPERLINK("http://ovidsp.ovid.com/ovidweb.cgi?T=JS&amp;NEWS=n&amp;CSC=Y&amp;PAGE=booktext&amp;D=books&amp;AN=00139996$&amp;XPATH=/PG(0)","http://ovidsp.ovid.com/ovidweb.cgi?T=JS&amp;NEWS=n&amp;CSC=Y&amp;PAGE=booktext&amp;D=books&amp;AN=00139996$&amp;XPATH=/PG(0)")</f>
        <v>http://ovidsp.ovid.com/ovidweb.cgi?T=JS&amp;NEWS=n&amp;CSC=Y&amp;PAGE=booktext&amp;D=books&amp;AN=00139996$&amp;XPATH=/PG(0)</v>
      </c>
      <c r="G707" s="2" t="s">
        <v>17</v>
      </c>
    </row>
    <row r="708" spans="1:7" x14ac:dyDescent="0.15">
      <c r="A708" s="2" t="s">
        <v>2140</v>
      </c>
      <c r="B708" s="2" t="s">
        <v>2141</v>
      </c>
      <c r="C708" s="2" t="s">
        <v>2142</v>
      </c>
      <c r="D708" s="2" t="s">
        <v>10</v>
      </c>
      <c r="E708" s="2" t="s">
        <v>45</v>
      </c>
      <c r="F708" s="3" t="str">
        <f>HYPERLINK("http://ovidsp.ovid.com/ovidweb.cgi?T=JS&amp;NEWS=n&amp;CSC=Y&amp;PAGE=booktext&amp;D=books&amp;AN=01223042$&amp;XPATH=/PG(0)","http://ovidsp.ovid.com/ovidweb.cgi?T=JS&amp;NEWS=n&amp;CSC=Y&amp;PAGE=booktext&amp;D=books&amp;AN=01223042$&amp;XPATH=/PG(0)")</f>
        <v>http://ovidsp.ovid.com/ovidweb.cgi?T=JS&amp;NEWS=n&amp;CSC=Y&amp;PAGE=booktext&amp;D=books&amp;AN=01223042$&amp;XPATH=/PG(0)</v>
      </c>
      <c r="G708" s="2" t="s">
        <v>17</v>
      </c>
    </row>
    <row r="709" spans="1:7" x14ac:dyDescent="0.15">
      <c r="A709" s="2" t="s">
        <v>2143</v>
      </c>
      <c r="B709" s="2" t="s">
        <v>2144</v>
      </c>
      <c r="C709" s="2" t="s">
        <v>2145</v>
      </c>
      <c r="D709" s="2" t="s">
        <v>10</v>
      </c>
      <c r="E709" s="2" t="s">
        <v>49</v>
      </c>
      <c r="F709" s="3" t="str">
        <f>HYPERLINK("http://ovidsp.ovid.com/ovidweb.cgi?T=JS&amp;NEWS=n&amp;CSC=Y&amp;PAGE=booktext&amp;D=books&amp;AN=00139992$&amp;XPATH=/PG(0)","http://ovidsp.ovid.com/ovidweb.cgi?T=JS&amp;NEWS=n&amp;CSC=Y&amp;PAGE=booktext&amp;D=books&amp;AN=00139992$&amp;XPATH=/PG(0)")</f>
        <v>http://ovidsp.ovid.com/ovidweb.cgi?T=JS&amp;NEWS=n&amp;CSC=Y&amp;PAGE=booktext&amp;D=books&amp;AN=00139992$&amp;XPATH=/PG(0)</v>
      </c>
      <c r="G709" s="2" t="s">
        <v>12</v>
      </c>
    </row>
    <row r="710" spans="1:7" x14ac:dyDescent="0.15">
      <c r="A710" s="2" t="s">
        <v>2146</v>
      </c>
      <c r="B710" s="2" t="s">
        <v>2147</v>
      </c>
      <c r="C710" s="2" t="s">
        <v>2148</v>
      </c>
      <c r="D710" s="2" t="s">
        <v>10</v>
      </c>
      <c r="E710" s="2" t="s">
        <v>95</v>
      </c>
      <c r="F710" s="3" t="str">
        <f>HYPERLINK("http://ovidsp.ovid.com/ovidweb.cgi?T=JS&amp;NEWS=n&amp;CSC=Y&amp;PAGE=booktext&amp;D=books&amp;AN=00149845$&amp;XPATH=/PG(0)","http://ovidsp.ovid.com/ovidweb.cgi?T=JS&amp;NEWS=n&amp;CSC=Y&amp;PAGE=booktext&amp;D=books&amp;AN=00149845$&amp;XPATH=/PG(0)")</f>
        <v>http://ovidsp.ovid.com/ovidweb.cgi?T=JS&amp;NEWS=n&amp;CSC=Y&amp;PAGE=booktext&amp;D=books&amp;AN=00149845$&amp;XPATH=/PG(0)</v>
      </c>
      <c r="G710" s="2" t="s">
        <v>12</v>
      </c>
    </row>
    <row r="711" spans="1:7" x14ac:dyDescent="0.15">
      <c r="A711" s="2" t="s">
        <v>2149</v>
      </c>
      <c r="B711" s="2" t="s">
        <v>2150</v>
      </c>
      <c r="C711" s="2" t="s">
        <v>2151</v>
      </c>
      <c r="D711" s="2" t="s">
        <v>10</v>
      </c>
      <c r="E711" s="2" t="s">
        <v>251</v>
      </c>
      <c r="F711" s="3" t="str">
        <f>HYPERLINK("http://ovidsp.ovid.com/ovidweb.cgi?T=JS&amp;NEWS=n&amp;CSC=Y&amp;PAGE=booktext&amp;D=books&amp;AN=00139997$&amp;XPATH=/PG(0)","http://ovidsp.ovid.com/ovidweb.cgi?T=JS&amp;NEWS=n&amp;CSC=Y&amp;PAGE=booktext&amp;D=books&amp;AN=00139997$&amp;XPATH=/PG(0)")</f>
        <v>http://ovidsp.ovid.com/ovidweb.cgi?T=JS&amp;NEWS=n&amp;CSC=Y&amp;PAGE=booktext&amp;D=books&amp;AN=00139997$&amp;XPATH=/PG(0)</v>
      </c>
      <c r="G711" s="2" t="s">
        <v>17</v>
      </c>
    </row>
    <row r="712" spans="1:7" x14ac:dyDescent="0.15">
      <c r="A712" s="2" t="s">
        <v>2152</v>
      </c>
      <c r="B712" s="2" t="s">
        <v>2153</v>
      </c>
      <c r="C712" s="2" t="s">
        <v>2154</v>
      </c>
      <c r="D712" s="2" t="s">
        <v>10</v>
      </c>
      <c r="E712" s="2" t="s">
        <v>16</v>
      </c>
      <c r="F712" s="3" t="str">
        <f>HYPERLINK("http://ovidsp.ovid.com/ovidweb.cgi?T=JS&amp;NEWS=n&amp;CSC=Y&amp;PAGE=booktext&amp;D=books&amp;AN=01382587$&amp;XPATH=/PG(0)","http://ovidsp.ovid.com/ovidweb.cgi?T=JS&amp;NEWS=n&amp;CSC=Y&amp;PAGE=booktext&amp;D=books&amp;AN=01382587$&amp;XPATH=/PG(0)")</f>
        <v>http://ovidsp.ovid.com/ovidweb.cgi?T=JS&amp;NEWS=n&amp;CSC=Y&amp;PAGE=booktext&amp;D=books&amp;AN=01382587$&amp;XPATH=/PG(0)</v>
      </c>
      <c r="G712" s="2" t="s">
        <v>17</v>
      </c>
    </row>
    <row r="713" spans="1:7" x14ac:dyDescent="0.15">
      <c r="A713" s="2" t="s">
        <v>2155</v>
      </c>
      <c r="B713" s="2" t="s">
        <v>2156</v>
      </c>
      <c r="C713" s="2" t="s">
        <v>2157</v>
      </c>
      <c r="D713" s="2" t="s">
        <v>10</v>
      </c>
      <c r="E713" s="2" t="s">
        <v>49</v>
      </c>
      <c r="F713" s="3" t="str">
        <f>HYPERLINK("http://ovidsp.ovid.com/ovidweb.cgi?T=JS&amp;NEWS=n&amp;CSC=Y&amp;PAGE=booktext&amp;D=books&amp;AN=01279707$&amp;XPATH=/PG(0)","http://ovidsp.ovid.com/ovidweb.cgi?T=JS&amp;NEWS=n&amp;CSC=Y&amp;PAGE=booktext&amp;D=books&amp;AN=01279707$&amp;XPATH=/PG(0)")</f>
        <v>http://ovidsp.ovid.com/ovidweb.cgi?T=JS&amp;NEWS=n&amp;CSC=Y&amp;PAGE=booktext&amp;D=books&amp;AN=01279707$&amp;XPATH=/PG(0)</v>
      </c>
      <c r="G713" s="2" t="s">
        <v>17</v>
      </c>
    </row>
    <row r="714" spans="1:7" x14ac:dyDescent="0.15">
      <c r="A714" s="2" t="s">
        <v>2158</v>
      </c>
      <c r="B714" s="2" t="s">
        <v>2159</v>
      </c>
      <c r="C714" s="2" t="s">
        <v>2160</v>
      </c>
      <c r="D714" s="2" t="s">
        <v>10</v>
      </c>
      <c r="E714" s="2" t="s">
        <v>16</v>
      </c>
      <c r="F714" s="3" t="str">
        <f>HYPERLINK("http://ovidsp.ovid.com/ovidweb.cgi?T=JS&amp;NEWS=n&amp;CSC=Y&amp;PAGE=booktext&amp;D=books&amp;AN=01382870$&amp;XPATH=/PG(0)","http://ovidsp.ovid.com/ovidweb.cgi?T=JS&amp;NEWS=n&amp;CSC=Y&amp;PAGE=booktext&amp;D=books&amp;AN=01382870$&amp;XPATH=/PG(0)")</f>
        <v>http://ovidsp.ovid.com/ovidweb.cgi?T=JS&amp;NEWS=n&amp;CSC=Y&amp;PAGE=booktext&amp;D=books&amp;AN=01382870$&amp;XPATH=/PG(0)</v>
      </c>
      <c r="G714" s="2" t="s">
        <v>12</v>
      </c>
    </row>
    <row r="715" spans="1:7" x14ac:dyDescent="0.15">
      <c r="A715" s="2" t="s">
        <v>2161</v>
      </c>
      <c r="B715" s="2" t="s">
        <v>2162</v>
      </c>
      <c r="C715" s="2" t="s">
        <v>2163</v>
      </c>
      <c r="D715" s="2" t="s">
        <v>10</v>
      </c>
      <c r="E715" s="2" t="s">
        <v>16</v>
      </c>
      <c r="F715" s="3" t="str">
        <f>HYPERLINK("http://ovidsp.ovid.com/ovidweb.cgi?T=JS&amp;NEWS=n&amp;CSC=Y&amp;PAGE=booktext&amp;D=books&amp;AN=01382881$&amp;XPATH=/PG(0)","http://ovidsp.ovid.com/ovidweb.cgi?T=JS&amp;NEWS=n&amp;CSC=Y&amp;PAGE=booktext&amp;D=books&amp;AN=01382881$&amp;XPATH=/PG(0)")</f>
        <v>http://ovidsp.ovid.com/ovidweb.cgi?T=JS&amp;NEWS=n&amp;CSC=Y&amp;PAGE=booktext&amp;D=books&amp;AN=01382881$&amp;XPATH=/PG(0)</v>
      </c>
      <c r="G715" s="2" t="s">
        <v>17</v>
      </c>
    </row>
    <row r="716" spans="1:7" x14ac:dyDescent="0.15">
      <c r="A716" s="2" t="s">
        <v>2164</v>
      </c>
      <c r="B716" s="2" t="s">
        <v>2165</v>
      </c>
      <c r="C716" s="2" t="s">
        <v>2166</v>
      </c>
      <c r="D716" s="2" t="s">
        <v>10</v>
      </c>
      <c r="E716" s="2" t="s">
        <v>1241</v>
      </c>
      <c r="F716" s="3" t="str">
        <f>HYPERLINK("http://ovidsp.ovid.com/ovidweb.cgi?T=JS&amp;NEWS=n&amp;CSC=Y&amp;PAGE=booktext&amp;D=books&amp;AN=01382740$&amp;XPATH=/PG(0)","http://ovidsp.ovid.com/ovidweb.cgi?T=JS&amp;NEWS=n&amp;CSC=Y&amp;PAGE=booktext&amp;D=books&amp;AN=01382740$&amp;XPATH=/PG(0)")</f>
        <v>http://ovidsp.ovid.com/ovidweb.cgi?T=JS&amp;NEWS=n&amp;CSC=Y&amp;PAGE=booktext&amp;D=books&amp;AN=01382740$&amp;XPATH=/PG(0)</v>
      </c>
      <c r="G716" s="2" t="s">
        <v>12</v>
      </c>
    </row>
    <row r="717" spans="1:7" x14ac:dyDescent="0.15">
      <c r="A717" s="2" t="s">
        <v>2167</v>
      </c>
      <c r="B717" s="2" t="s">
        <v>2168</v>
      </c>
      <c r="C717" s="2" t="s">
        <v>2169</v>
      </c>
      <c r="D717" s="2" t="s">
        <v>10</v>
      </c>
      <c r="E717" s="2" t="s">
        <v>45</v>
      </c>
      <c r="F717" s="3" t="str">
        <f>HYPERLINK("http://ovidsp.ovid.com/ovidweb.cgi?T=JS&amp;NEWS=n&amp;CSC=Y&amp;PAGE=booktext&amp;D=books&amp;AN=01382820$&amp;XPATH=/PG(0)","http://ovidsp.ovid.com/ovidweb.cgi?T=JS&amp;NEWS=n&amp;CSC=Y&amp;PAGE=booktext&amp;D=books&amp;AN=01382820$&amp;XPATH=/PG(0)")</f>
        <v>http://ovidsp.ovid.com/ovidweb.cgi?T=JS&amp;NEWS=n&amp;CSC=Y&amp;PAGE=booktext&amp;D=books&amp;AN=01382820$&amp;XPATH=/PG(0)</v>
      </c>
      <c r="G717" s="2" t="s">
        <v>12</v>
      </c>
    </row>
    <row r="718" spans="1:7" x14ac:dyDescent="0.15">
      <c r="A718" s="2" t="s">
        <v>2170</v>
      </c>
      <c r="B718" s="2" t="s">
        <v>2171</v>
      </c>
      <c r="C718" s="2" t="s">
        <v>2172</v>
      </c>
      <c r="D718" s="2" t="s">
        <v>10</v>
      </c>
      <c r="E718" s="2" t="s">
        <v>53</v>
      </c>
      <c r="F718" s="3" t="str">
        <f>HYPERLINK("http://ovidsp.ovid.com/ovidweb.cgi?T=JS&amp;NEWS=n&amp;CSC=Y&amp;PAGE=booktext&amp;D=books&amp;AN=01223036$&amp;XPATH=/PG(0)","http://ovidsp.ovid.com/ovidweb.cgi?T=JS&amp;NEWS=n&amp;CSC=Y&amp;PAGE=booktext&amp;D=books&amp;AN=01223036$&amp;XPATH=/PG(0)")</f>
        <v>http://ovidsp.ovid.com/ovidweb.cgi?T=JS&amp;NEWS=n&amp;CSC=Y&amp;PAGE=booktext&amp;D=books&amp;AN=01223036$&amp;XPATH=/PG(0)</v>
      </c>
      <c r="G718" s="2" t="s">
        <v>12</v>
      </c>
    </row>
    <row r="719" spans="1:7" x14ac:dyDescent="0.15">
      <c r="A719" s="2" t="s">
        <v>2173</v>
      </c>
      <c r="B719" s="2" t="s">
        <v>2174</v>
      </c>
      <c r="C719" s="2" t="s">
        <v>2175</v>
      </c>
      <c r="D719" s="2" t="s">
        <v>10</v>
      </c>
      <c r="E719" s="2" t="s">
        <v>95</v>
      </c>
      <c r="F719" s="3" t="str">
        <f>HYPERLINK("http://ovidsp.ovid.com/ovidweb.cgi?T=JS&amp;NEWS=n&amp;CSC=Y&amp;PAGE=booktext&amp;D=books&amp;AN=01382890$&amp;XPATH=/PG(0)","http://ovidsp.ovid.com/ovidweb.cgi?T=JS&amp;NEWS=n&amp;CSC=Y&amp;PAGE=booktext&amp;D=books&amp;AN=01382890$&amp;XPATH=/PG(0)")</f>
        <v>http://ovidsp.ovid.com/ovidweb.cgi?T=JS&amp;NEWS=n&amp;CSC=Y&amp;PAGE=booktext&amp;D=books&amp;AN=01382890$&amp;XPATH=/PG(0)</v>
      </c>
      <c r="G719" s="2" t="s">
        <v>17</v>
      </c>
    </row>
    <row r="720" spans="1:7" x14ac:dyDescent="0.15">
      <c r="A720" s="2" t="s">
        <v>2176</v>
      </c>
      <c r="B720" s="2" t="s">
        <v>2177</v>
      </c>
      <c r="C720" s="2" t="s">
        <v>2178</v>
      </c>
      <c r="D720" s="2" t="s">
        <v>10</v>
      </c>
      <c r="E720" s="2" t="s">
        <v>16</v>
      </c>
      <c r="F720" s="3" t="str">
        <f>HYPERLINK("http://ovidsp.ovid.com/ovidweb.cgi?T=JS&amp;NEWS=n&amp;CSC=Y&amp;PAGE=booktext&amp;D=books&amp;AN=00140002$&amp;XPATH=/PG(0)","http://ovidsp.ovid.com/ovidweb.cgi?T=JS&amp;NEWS=n&amp;CSC=Y&amp;PAGE=booktext&amp;D=books&amp;AN=00140002$&amp;XPATH=/PG(0)")</f>
        <v>http://ovidsp.ovid.com/ovidweb.cgi?T=JS&amp;NEWS=n&amp;CSC=Y&amp;PAGE=booktext&amp;D=books&amp;AN=00140002$&amp;XPATH=/PG(0)</v>
      </c>
      <c r="G720" s="2" t="s">
        <v>17</v>
      </c>
    </row>
    <row r="721" spans="1:7" x14ac:dyDescent="0.15">
      <c r="A721" s="2" t="s">
        <v>2179</v>
      </c>
      <c r="B721" s="2" t="s">
        <v>2180</v>
      </c>
      <c r="C721" s="2" t="s">
        <v>2181</v>
      </c>
      <c r="D721" s="2" t="s">
        <v>10</v>
      </c>
      <c r="E721" s="2" t="s">
        <v>16</v>
      </c>
      <c r="F721" s="3" t="str">
        <f>HYPERLINK("http://ovidsp.ovid.com/ovidweb.cgi?T=JS&amp;NEWS=n&amp;CSC=Y&amp;PAGE=booktext&amp;D=books&amp;AN=01382659$&amp;XPATH=/PG(0)","http://ovidsp.ovid.com/ovidweb.cgi?T=JS&amp;NEWS=n&amp;CSC=Y&amp;PAGE=booktext&amp;D=books&amp;AN=01382659$&amp;XPATH=/PG(0)")</f>
        <v>http://ovidsp.ovid.com/ovidweb.cgi?T=JS&amp;NEWS=n&amp;CSC=Y&amp;PAGE=booktext&amp;D=books&amp;AN=01382659$&amp;XPATH=/PG(0)</v>
      </c>
      <c r="G721" s="2" t="s">
        <v>17</v>
      </c>
    </row>
    <row r="722" spans="1:7" x14ac:dyDescent="0.15">
      <c r="A722" s="2" t="s">
        <v>2182</v>
      </c>
      <c r="B722" s="2" t="s">
        <v>2183</v>
      </c>
      <c r="C722" s="2" t="s">
        <v>2184</v>
      </c>
      <c r="D722" s="2" t="s">
        <v>10</v>
      </c>
      <c r="E722" s="2" t="s">
        <v>16</v>
      </c>
      <c r="F722" s="3" t="str">
        <f>HYPERLINK("http://ovidsp.ovid.com/ovidweb.cgi?T=JS&amp;NEWS=n&amp;CSC=Y&amp;PAGE=booktext&amp;D=books&amp;AN=01257033$&amp;XPATH=/PG(0)","http://ovidsp.ovid.com/ovidweb.cgi?T=JS&amp;NEWS=n&amp;CSC=Y&amp;PAGE=booktext&amp;D=books&amp;AN=01257033$&amp;XPATH=/PG(0)")</f>
        <v>http://ovidsp.ovid.com/ovidweb.cgi?T=JS&amp;NEWS=n&amp;CSC=Y&amp;PAGE=booktext&amp;D=books&amp;AN=01257033$&amp;XPATH=/PG(0)</v>
      </c>
      <c r="G722" s="2" t="s">
        <v>17</v>
      </c>
    </row>
    <row r="723" spans="1:7" x14ac:dyDescent="0.15">
      <c r="A723" s="2" t="s">
        <v>2185</v>
      </c>
      <c r="B723" s="2" t="s">
        <v>2186</v>
      </c>
      <c r="C723" s="2" t="s">
        <v>2187</v>
      </c>
      <c r="D723" s="2" t="s">
        <v>10</v>
      </c>
      <c r="E723" s="2" t="s">
        <v>45</v>
      </c>
      <c r="F723" s="3" t="str">
        <f>HYPERLINK("http://ovidsp.ovid.com/ovidweb.cgi?T=JS&amp;NEWS=n&amp;CSC=Y&amp;PAGE=booktext&amp;D=books&amp;AN=01223037$&amp;XPATH=/PG(0)","http://ovidsp.ovid.com/ovidweb.cgi?T=JS&amp;NEWS=n&amp;CSC=Y&amp;PAGE=booktext&amp;D=books&amp;AN=01223037$&amp;XPATH=/PG(0)")</f>
        <v>http://ovidsp.ovid.com/ovidweb.cgi?T=JS&amp;NEWS=n&amp;CSC=Y&amp;PAGE=booktext&amp;D=books&amp;AN=01223037$&amp;XPATH=/PG(0)</v>
      </c>
      <c r="G723" s="2" t="s">
        <v>17</v>
      </c>
    </row>
    <row r="724" spans="1:7" x14ac:dyDescent="0.15">
      <c r="A724" s="2" t="s">
        <v>2188</v>
      </c>
      <c r="B724" s="2" t="s">
        <v>2189</v>
      </c>
      <c r="C724" s="2" t="s">
        <v>2190</v>
      </c>
      <c r="D724" s="2" t="s">
        <v>10</v>
      </c>
      <c r="E724" s="2" t="s">
        <v>45</v>
      </c>
      <c r="F724" s="3" t="str">
        <f>HYPERLINK("http://ovidsp.ovid.com/ovidweb.cgi?T=JS&amp;NEWS=n&amp;CSC=Y&amp;PAGE=booktext&amp;D=books&amp;AN=01257034$&amp;XPATH=/PG(0)","http://ovidsp.ovid.com/ovidweb.cgi?T=JS&amp;NEWS=n&amp;CSC=Y&amp;PAGE=booktext&amp;D=books&amp;AN=01257034$&amp;XPATH=/PG(0)")</f>
        <v>http://ovidsp.ovid.com/ovidweb.cgi?T=JS&amp;NEWS=n&amp;CSC=Y&amp;PAGE=booktext&amp;D=books&amp;AN=01257034$&amp;XPATH=/PG(0)</v>
      </c>
      <c r="G724" s="2" t="s">
        <v>17</v>
      </c>
    </row>
    <row r="725" spans="1:7" x14ac:dyDescent="0.15">
      <c r="A725" s="2" t="s">
        <v>2191</v>
      </c>
      <c r="B725" s="2" t="s">
        <v>2192</v>
      </c>
      <c r="C725" s="2" t="s">
        <v>2193</v>
      </c>
      <c r="D725" s="2" t="s">
        <v>10</v>
      </c>
      <c r="E725" s="2" t="s">
        <v>16</v>
      </c>
      <c r="F725" s="3" t="str">
        <f>HYPERLINK("http://ovidsp.ovid.com/ovidweb.cgi?T=JS&amp;NEWS=n&amp;CSC=Y&amp;PAGE=booktext&amp;D=books&amp;AN=01382662$&amp;XPATH=/PG(0)","http://ovidsp.ovid.com/ovidweb.cgi?T=JS&amp;NEWS=n&amp;CSC=Y&amp;PAGE=booktext&amp;D=books&amp;AN=01382662$&amp;XPATH=/PG(0)")</f>
        <v>http://ovidsp.ovid.com/ovidweb.cgi?T=JS&amp;NEWS=n&amp;CSC=Y&amp;PAGE=booktext&amp;D=books&amp;AN=01382662$&amp;XPATH=/PG(0)</v>
      </c>
      <c r="G725" s="2" t="s">
        <v>17</v>
      </c>
    </row>
    <row r="726" spans="1:7" x14ac:dyDescent="0.15">
      <c r="A726" s="2" t="s">
        <v>2194</v>
      </c>
      <c r="B726" s="2" t="s">
        <v>2195</v>
      </c>
      <c r="C726" s="2" t="s">
        <v>2196</v>
      </c>
      <c r="D726" s="2" t="s">
        <v>10</v>
      </c>
      <c r="E726" s="2" t="s">
        <v>16</v>
      </c>
      <c r="F726" s="3" t="str">
        <f>HYPERLINK("http://ovidsp.ovid.com/ovidweb.cgi?T=JS&amp;NEWS=n&amp;CSC=Y&amp;PAGE=booktext&amp;D=books&amp;AN=01382888$&amp;XPATH=/PG(0)","http://ovidsp.ovid.com/ovidweb.cgi?T=JS&amp;NEWS=n&amp;CSC=Y&amp;PAGE=booktext&amp;D=books&amp;AN=01382888$&amp;XPATH=/PG(0)")</f>
        <v>http://ovidsp.ovid.com/ovidweb.cgi?T=JS&amp;NEWS=n&amp;CSC=Y&amp;PAGE=booktext&amp;D=books&amp;AN=01382888$&amp;XPATH=/PG(0)</v>
      </c>
      <c r="G726" s="2" t="s">
        <v>12</v>
      </c>
    </row>
    <row r="727" spans="1:7" x14ac:dyDescent="0.15">
      <c r="A727" s="2" t="s">
        <v>2197</v>
      </c>
      <c r="B727" s="2" t="s">
        <v>2198</v>
      </c>
      <c r="C727" s="2" t="s">
        <v>2199</v>
      </c>
      <c r="D727" s="2" t="s">
        <v>10</v>
      </c>
      <c r="E727" s="2" t="s">
        <v>251</v>
      </c>
      <c r="F727" s="3" t="str">
        <f>HYPERLINK("http://ovidsp.ovid.com/ovidweb.cgi?T=JS&amp;NEWS=n&amp;CSC=Y&amp;PAGE=booktext&amp;D=books&amp;AN=01382663$&amp;XPATH=/PG(0)","http://ovidsp.ovid.com/ovidweb.cgi?T=JS&amp;NEWS=n&amp;CSC=Y&amp;PAGE=booktext&amp;D=books&amp;AN=01382663$&amp;XPATH=/PG(0)")</f>
        <v>http://ovidsp.ovid.com/ovidweb.cgi?T=JS&amp;NEWS=n&amp;CSC=Y&amp;PAGE=booktext&amp;D=books&amp;AN=01382663$&amp;XPATH=/PG(0)</v>
      </c>
      <c r="G727" s="2" t="s">
        <v>17</v>
      </c>
    </row>
    <row r="728" spans="1:7" x14ac:dyDescent="0.15">
      <c r="A728" s="2" t="s">
        <v>2200</v>
      </c>
      <c r="B728" s="2" t="s">
        <v>2201</v>
      </c>
      <c r="C728" s="2" t="s">
        <v>2202</v>
      </c>
      <c r="D728" s="2" t="s">
        <v>10</v>
      </c>
      <c r="E728" s="2" t="s">
        <v>45</v>
      </c>
      <c r="F728" s="3" t="str">
        <f>HYPERLINK("http://ovidsp.ovid.com/ovidweb.cgi?T=JS&amp;NEWS=n&amp;CSC=Y&amp;PAGE=booktext&amp;D=books&amp;AN=01382661$&amp;XPATH=/PG(0)","http://ovidsp.ovid.com/ovidweb.cgi?T=JS&amp;NEWS=n&amp;CSC=Y&amp;PAGE=booktext&amp;D=books&amp;AN=01382661$&amp;XPATH=/PG(0)")</f>
        <v>http://ovidsp.ovid.com/ovidweb.cgi?T=JS&amp;NEWS=n&amp;CSC=Y&amp;PAGE=booktext&amp;D=books&amp;AN=01382661$&amp;XPATH=/PG(0)</v>
      </c>
      <c r="G728" s="2" t="s">
        <v>17</v>
      </c>
    </row>
    <row r="729" spans="1:7" x14ac:dyDescent="0.15">
      <c r="A729" s="2" t="s">
        <v>2203</v>
      </c>
      <c r="B729" s="2" t="s">
        <v>2204</v>
      </c>
      <c r="C729" s="2" t="s">
        <v>2205</v>
      </c>
      <c r="D729" s="2" t="s">
        <v>10</v>
      </c>
      <c r="E729" s="2" t="s">
        <v>16</v>
      </c>
      <c r="F729" s="3" t="str">
        <f>HYPERLINK("http://ovidsp.ovid.com/ovidweb.cgi?T=JS&amp;NEWS=n&amp;CSC=Y&amp;PAGE=booktext&amp;D=books&amp;AN=01382412$&amp;XPATH=/PG(0)","http://ovidsp.ovid.com/ovidweb.cgi?T=JS&amp;NEWS=n&amp;CSC=Y&amp;PAGE=booktext&amp;D=books&amp;AN=01382412$&amp;XPATH=/PG(0)")</f>
        <v>http://ovidsp.ovid.com/ovidweb.cgi?T=JS&amp;NEWS=n&amp;CSC=Y&amp;PAGE=booktext&amp;D=books&amp;AN=01382412$&amp;XPATH=/PG(0)</v>
      </c>
      <c r="G729" s="2" t="s">
        <v>12</v>
      </c>
    </row>
    <row r="730" spans="1:7" x14ac:dyDescent="0.15">
      <c r="A730" s="2" t="s">
        <v>2206</v>
      </c>
      <c r="B730" s="2" t="s">
        <v>2207</v>
      </c>
      <c r="C730" s="2" t="s">
        <v>2208</v>
      </c>
      <c r="D730" s="2" t="s">
        <v>10</v>
      </c>
      <c r="E730" s="2" t="s">
        <v>16</v>
      </c>
      <c r="F730" s="3" t="str">
        <f>HYPERLINK("http://ovidsp.ovid.com/ovidweb.cgi?T=JS&amp;NEWS=n&amp;CSC=Y&amp;PAGE=booktext&amp;D=books&amp;AN=01382664$&amp;XPATH=/PG(0)","http://ovidsp.ovid.com/ovidweb.cgi?T=JS&amp;NEWS=n&amp;CSC=Y&amp;PAGE=booktext&amp;D=books&amp;AN=01382664$&amp;XPATH=/PG(0)")</f>
        <v>http://ovidsp.ovid.com/ovidweb.cgi?T=JS&amp;NEWS=n&amp;CSC=Y&amp;PAGE=booktext&amp;D=books&amp;AN=01382664$&amp;XPATH=/PG(0)</v>
      </c>
      <c r="G730" s="2" t="s">
        <v>17</v>
      </c>
    </row>
    <row r="731" spans="1:7" x14ac:dyDescent="0.15">
      <c r="A731" s="2" t="s">
        <v>2209</v>
      </c>
      <c r="B731" s="2" t="s">
        <v>2210</v>
      </c>
      <c r="C731" s="2" t="s">
        <v>2211</v>
      </c>
      <c r="D731" s="2" t="s">
        <v>10</v>
      </c>
      <c r="E731" s="2" t="s">
        <v>16</v>
      </c>
      <c r="F731" s="3" t="str">
        <f>HYPERLINK("http://ovidsp.ovid.com/ovidweb.cgi?T=JS&amp;NEWS=n&amp;CSC=Y&amp;PAGE=booktext&amp;D=books&amp;AN=01382665$&amp;XPATH=/PG(0)","http://ovidsp.ovid.com/ovidweb.cgi?T=JS&amp;NEWS=n&amp;CSC=Y&amp;PAGE=booktext&amp;D=books&amp;AN=01382665$&amp;XPATH=/PG(0)")</f>
        <v>http://ovidsp.ovid.com/ovidweb.cgi?T=JS&amp;NEWS=n&amp;CSC=Y&amp;PAGE=booktext&amp;D=books&amp;AN=01382665$&amp;XPATH=/PG(0)</v>
      </c>
      <c r="G731" s="2" t="s">
        <v>17</v>
      </c>
    </row>
    <row r="732" spans="1:7" x14ac:dyDescent="0.15">
      <c r="A732" s="2" t="s">
        <v>2212</v>
      </c>
      <c r="B732" s="2" t="s">
        <v>2213</v>
      </c>
      <c r="C732" s="2" t="s">
        <v>2214</v>
      </c>
      <c r="D732" s="2" t="s">
        <v>10</v>
      </c>
      <c r="E732" s="2" t="s">
        <v>16</v>
      </c>
      <c r="F732" s="3" t="str">
        <f>HYPERLINK("http://ovidsp.ovid.com/ovidweb.cgi?T=JS&amp;NEWS=n&amp;CSC=Y&amp;PAGE=booktext&amp;D=books&amp;AN=01382493$&amp;XPATH=/PG(0)","http://ovidsp.ovid.com/ovidweb.cgi?T=JS&amp;NEWS=n&amp;CSC=Y&amp;PAGE=booktext&amp;D=books&amp;AN=01382493$&amp;XPATH=/PG(0)")</f>
        <v>http://ovidsp.ovid.com/ovidweb.cgi?T=JS&amp;NEWS=n&amp;CSC=Y&amp;PAGE=booktext&amp;D=books&amp;AN=01382493$&amp;XPATH=/PG(0)</v>
      </c>
      <c r="G732" s="2" t="s">
        <v>17</v>
      </c>
    </row>
    <row r="733" spans="1:7" x14ac:dyDescent="0.15">
      <c r="A733" s="2" t="s">
        <v>2215</v>
      </c>
      <c r="B733" s="2" t="s">
        <v>2216</v>
      </c>
      <c r="C733" s="2" t="s">
        <v>2217</v>
      </c>
      <c r="D733" s="2" t="s">
        <v>10</v>
      </c>
      <c r="E733" s="2" t="s">
        <v>16</v>
      </c>
      <c r="F733" s="3" t="str">
        <f>HYPERLINK("http://ovidsp.ovid.com/ovidweb.cgi?T=JS&amp;NEWS=n&amp;CSC=Y&amp;PAGE=booktext&amp;D=books&amp;AN=01257035$&amp;XPATH=/PG(0)","http://ovidsp.ovid.com/ovidweb.cgi?T=JS&amp;NEWS=n&amp;CSC=Y&amp;PAGE=booktext&amp;D=books&amp;AN=01257035$&amp;XPATH=/PG(0)")</f>
        <v>http://ovidsp.ovid.com/ovidweb.cgi?T=JS&amp;NEWS=n&amp;CSC=Y&amp;PAGE=booktext&amp;D=books&amp;AN=01257035$&amp;XPATH=/PG(0)</v>
      </c>
      <c r="G733" s="2" t="s">
        <v>17</v>
      </c>
    </row>
    <row r="734" spans="1:7" x14ac:dyDescent="0.15">
      <c r="A734" s="2" t="s">
        <v>2218</v>
      </c>
      <c r="B734" s="2" t="s">
        <v>2219</v>
      </c>
      <c r="C734" s="2" t="s">
        <v>2220</v>
      </c>
      <c r="D734" s="2" t="s">
        <v>10</v>
      </c>
      <c r="E734" s="2" t="s">
        <v>16</v>
      </c>
      <c r="F734" s="3" t="str">
        <f>HYPERLINK("http://ovidsp.ovid.com/ovidweb.cgi?T=JS&amp;NEWS=n&amp;CSC=Y&amp;PAGE=booktext&amp;D=books&amp;AN=01382667$&amp;XPATH=/PG(0)","http://ovidsp.ovid.com/ovidweb.cgi?T=JS&amp;NEWS=n&amp;CSC=Y&amp;PAGE=booktext&amp;D=books&amp;AN=01382667$&amp;XPATH=/PG(0)")</f>
        <v>http://ovidsp.ovid.com/ovidweb.cgi?T=JS&amp;NEWS=n&amp;CSC=Y&amp;PAGE=booktext&amp;D=books&amp;AN=01382667$&amp;XPATH=/PG(0)</v>
      </c>
      <c r="G734" s="2" t="s">
        <v>17</v>
      </c>
    </row>
    <row r="735" spans="1:7" x14ac:dyDescent="0.15">
      <c r="A735" s="2" t="s">
        <v>2221</v>
      </c>
      <c r="B735" s="2" t="s">
        <v>2222</v>
      </c>
      <c r="C735" s="2" t="s">
        <v>2223</v>
      </c>
      <c r="D735" s="2" t="s">
        <v>10</v>
      </c>
      <c r="E735" s="2" t="s">
        <v>45</v>
      </c>
      <c r="F735" s="3" t="str">
        <f>HYPERLINK("http://ovidsp.ovid.com/ovidweb.cgi?T=JS&amp;NEWS=n&amp;CSC=Y&amp;PAGE=booktext&amp;D=books&amp;AN=01382668$&amp;XPATH=/PG(0)","http://ovidsp.ovid.com/ovidweb.cgi?T=JS&amp;NEWS=n&amp;CSC=Y&amp;PAGE=booktext&amp;D=books&amp;AN=01382668$&amp;XPATH=/PG(0)")</f>
        <v>http://ovidsp.ovid.com/ovidweb.cgi?T=JS&amp;NEWS=n&amp;CSC=Y&amp;PAGE=booktext&amp;D=books&amp;AN=01382668$&amp;XPATH=/PG(0)</v>
      </c>
      <c r="G735" s="2" t="s">
        <v>17</v>
      </c>
    </row>
    <row r="736" spans="1:7" x14ac:dyDescent="0.15">
      <c r="A736" s="2" t="s">
        <v>2224</v>
      </c>
      <c r="B736" s="2" t="s">
        <v>2225</v>
      </c>
      <c r="C736" s="2" t="s">
        <v>2226</v>
      </c>
      <c r="D736" s="2" t="s">
        <v>10</v>
      </c>
      <c r="E736" s="2" t="s">
        <v>49</v>
      </c>
      <c r="F736" s="3" t="str">
        <f>HYPERLINK("http://ovidsp.ovid.com/ovidweb.cgi?T=JS&amp;NEWS=n&amp;CSC=Y&amp;PAGE=booktext&amp;D=books&amp;AN=01376505$&amp;XPATH=/PG(0)","http://ovidsp.ovid.com/ovidweb.cgi?T=JS&amp;NEWS=n&amp;CSC=Y&amp;PAGE=booktext&amp;D=books&amp;AN=01376505$&amp;XPATH=/PG(0)")</f>
        <v>http://ovidsp.ovid.com/ovidweb.cgi?T=JS&amp;NEWS=n&amp;CSC=Y&amp;PAGE=booktext&amp;D=books&amp;AN=01376505$&amp;XPATH=/PG(0)</v>
      </c>
      <c r="G736" s="2" t="s">
        <v>17</v>
      </c>
    </row>
    <row r="737" spans="1:7" x14ac:dyDescent="0.15">
      <c r="A737" s="2" t="s">
        <v>2227</v>
      </c>
      <c r="B737" s="2" t="s">
        <v>2228</v>
      </c>
      <c r="C737" s="2" t="s">
        <v>2229</v>
      </c>
      <c r="D737" s="2" t="s">
        <v>10</v>
      </c>
      <c r="E737" s="2" t="s">
        <v>95</v>
      </c>
      <c r="F737" s="3" t="str">
        <f>HYPERLINK("http://ovidsp.ovid.com/ovidweb.cgi?T=JS&amp;NEWS=n&amp;CSC=Y&amp;PAGE=booktext&amp;D=books&amp;AN=01382895$&amp;XPATH=/PG(0)","http://ovidsp.ovid.com/ovidweb.cgi?T=JS&amp;NEWS=n&amp;CSC=Y&amp;PAGE=booktext&amp;D=books&amp;AN=01382895$&amp;XPATH=/PG(0)")</f>
        <v>http://ovidsp.ovid.com/ovidweb.cgi?T=JS&amp;NEWS=n&amp;CSC=Y&amp;PAGE=booktext&amp;D=books&amp;AN=01382895$&amp;XPATH=/PG(0)</v>
      </c>
      <c r="G737" s="2" t="s">
        <v>12</v>
      </c>
    </row>
    <row r="738" spans="1:7" x14ac:dyDescent="0.15">
      <c r="A738" s="2" t="s">
        <v>2230</v>
      </c>
      <c r="B738" s="2" t="s">
        <v>2231</v>
      </c>
      <c r="C738" s="2" t="s">
        <v>2232</v>
      </c>
      <c r="D738" s="2" t="s">
        <v>10</v>
      </c>
      <c r="E738" s="2" t="s">
        <v>45</v>
      </c>
      <c r="F738" s="3" t="str">
        <f>HYPERLINK("http://ovidsp.ovid.com/ovidweb.cgi?T=JS&amp;NEWS=n&amp;CSC=Y&amp;PAGE=booktext&amp;D=books&amp;AN=00149847$&amp;XPATH=/PG(0)","http://ovidsp.ovid.com/ovidweb.cgi?T=JS&amp;NEWS=n&amp;CSC=Y&amp;PAGE=booktext&amp;D=books&amp;AN=00149847$&amp;XPATH=/PG(0)")</f>
        <v>http://ovidsp.ovid.com/ovidweb.cgi?T=JS&amp;NEWS=n&amp;CSC=Y&amp;PAGE=booktext&amp;D=books&amp;AN=00149847$&amp;XPATH=/PG(0)</v>
      </c>
      <c r="G738" s="2" t="s">
        <v>12</v>
      </c>
    </row>
    <row r="739" spans="1:7" x14ac:dyDescent="0.15">
      <c r="A739" s="2" t="s">
        <v>2233</v>
      </c>
      <c r="B739" s="2" t="s">
        <v>2234</v>
      </c>
      <c r="C739" s="2" t="s">
        <v>2235</v>
      </c>
      <c r="D739" s="2" t="s">
        <v>10</v>
      </c>
      <c r="E739" s="2" t="s">
        <v>235</v>
      </c>
      <c r="F739" s="3" t="str">
        <f>HYPERLINK("http://ovidsp.ovid.com/ovidweb.cgi?T=JS&amp;NEWS=n&amp;CSC=Y&amp;PAGE=booktext&amp;D=books&amp;AN=01382670$&amp;XPATH=/PG(0)","http://ovidsp.ovid.com/ovidweb.cgi?T=JS&amp;NEWS=n&amp;CSC=Y&amp;PAGE=booktext&amp;D=books&amp;AN=01382670$&amp;XPATH=/PG(0)")</f>
        <v>http://ovidsp.ovid.com/ovidweb.cgi?T=JS&amp;NEWS=n&amp;CSC=Y&amp;PAGE=booktext&amp;D=books&amp;AN=01382670$&amp;XPATH=/PG(0)</v>
      </c>
      <c r="G739" s="2" t="s">
        <v>17</v>
      </c>
    </row>
    <row r="740" spans="1:7" x14ac:dyDescent="0.15">
      <c r="A740" s="2" t="s">
        <v>2236</v>
      </c>
      <c r="B740" s="2" t="s">
        <v>2237</v>
      </c>
      <c r="C740" s="2" t="s">
        <v>2238</v>
      </c>
      <c r="D740" s="2" t="s">
        <v>10</v>
      </c>
      <c r="E740" s="2" t="s">
        <v>45</v>
      </c>
      <c r="F740" s="3" t="str">
        <f>HYPERLINK("http://ovidsp.ovid.com/ovidweb.cgi?T=JS&amp;NEWS=n&amp;CSC=Y&amp;PAGE=booktext&amp;D=books&amp;AN=01382671$&amp;XPATH=/PG(0)","http://ovidsp.ovid.com/ovidweb.cgi?T=JS&amp;NEWS=n&amp;CSC=Y&amp;PAGE=booktext&amp;D=books&amp;AN=01382671$&amp;XPATH=/PG(0)")</f>
        <v>http://ovidsp.ovid.com/ovidweb.cgi?T=JS&amp;NEWS=n&amp;CSC=Y&amp;PAGE=booktext&amp;D=books&amp;AN=01382671$&amp;XPATH=/PG(0)</v>
      </c>
      <c r="G740" s="2" t="s">
        <v>17</v>
      </c>
    </row>
    <row r="741" spans="1:7" x14ac:dyDescent="0.15">
      <c r="A741" s="2" t="s">
        <v>2239</v>
      </c>
      <c r="B741" s="2" t="s">
        <v>2240</v>
      </c>
      <c r="C741" s="2" t="s">
        <v>2241</v>
      </c>
      <c r="D741" s="2" t="s">
        <v>10</v>
      </c>
      <c r="E741" s="2" t="s">
        <v>235</v>
      </c>
      <c r="F741" s="3" t="str">
        <f>HYPERLINK("http://ovidsp.ovid.com/ovidweb.cgi?T=JS&amp;NEWS=n&amp;CSC=Y&amp;PAGE=booktext&amp;D=books&amp;AN=01279716$&amp;XPATH=/PG(0)","http://ovidsp.ovid.com/ovidweb.cgi?T=JS&amp;NEWS=n&amp;CSC=Y&amp;PAGE=booktext&amp;D=books&amp;AN=01279716$&amp;XPATH=/PG(0)")</f>
        <v>http://ovidsp.ovid.com/ovidweb.cgi?T=JS&amp;NEWS=n&amp;CSC=Y&amp;PAGE=booktext&amp;D=books&amp;AN=01279716$&amp;XPATH=/PG(0)</v>
      </c>
      <c r="G741" s="2" t="s">
        <v>17</v>
      </c>
    </row>
    <row r="742" spans="1:7" x14ac:dyDescent="0.15">
      <c r="A742" s="2" t="s">
        <v>2242</v>
      </c>
      <c r="B742" s="2" t="s">
        <v>2243</v>
      </c>
      <c r="C742" s="2" t="s">
        <v>2244</v>
      </c>
      <c r="D742" s="2" t="s">
        <v>10</v>
      </c>
      <c r="E742" s="2" t="s">
        <v>95</v>
      </c>
      <c r="F742" s="3" t="str">
        <f>HYPERLINK("http://ovidsp.ovid.com/ovidweb.cgi?T=JS&amp;NEWS=n&amp;CSC=Y&amp;PAGE=booktext&amp;D=books&amp;AN=01382672$&amp;XPATH=/PG(0)","http://ovidsp.ovid.com/ovidweb.cgi?T=JS&amp;NEWS=n&amp;CSC=Y&amp;PAGE=booktext&amp;D=books&amp;AN=01382672$&amp;XPATH=/PG(0)")</f>
        <v>http://ovidsp.ovid.com/ovidweb.cgi?T=JS&amp;NEWS=n&amp;CSC=Y&amp;PAGE=booktext&amp;D=books&amp;AN=01382672$&amp;XPATH=/PG(0)</v>
      </c>
      <c r="G742" s="2" t="s">
        <v>17</v>
      </c>
    </row>
    <row r="743" spans="1:7" x14ac:dyDescent="0.15">
      <c r="A743" s="2" t="s">
        <v>2245</v>
      </c>
      <c r="B743" s="2" t="s">
        <v>2246</v>
      </c>
      <c r="C743" s="2" t="s">
        <v>2247</v>
      </c>
      <c r="D743" s="2" t="s">
        <v>10</v>
      </c>
      <c r="E743" s="2" t="s">
        <v>95</v>
      </c>
      <c r="F743" s="3" t="str">
        <f>HYPERLINK("http://ovidsp.ovid.com/ovidweb.cgi?T=JS&amp;NEWS=n&amp;CSC=Y&amp;PAGE=booktext&amp;D=books&amp;AN=01382673$&amp;XPATH=/PG(0)","http://ovidsp.ovid.com/ovidweb.cgi?T=JS&amp;NEWS=n&amp;CSC=Y&amp;PAGE=booktext&amp;D=books&amp;AN=01382673$&amp;XPATH=/PG(0)")</f>
        <v>http://ovidsp.ovid.com/ovidweb.cgi?T=JS&amp;NEWS=n&amp;CSC=Y&amp;PAGE=booktext&amp;D=books&amp;AN=01382673$&amp;XPATH=/PG(0)</v>
      </c>
      <c r="G743" s="2" t="s">
        <v>17</v>
      </c>
    </row>
    <row r="744" spans="1:7" x14ac:dyDescent="0.15">
      <c r="A744" s="2" t="s">
        <v>2248</v>
      </c>
      <c r="B744" s="2" t="s">
        <v>2249</v>
      </c>
      <c r="C744" s="2" t="s">
        <v>2250</v>
      </c>
      <c r="D744" s="2" t="s">
        <v>10</v>
      </c>
      <c r="E744" s="2" t="s">
        <v>16</v>
      </c>
      <c r="F744" s="3" t="str">
        <f>HYPERLINK("http://ovidsp.ovid.com/ovidweb.cgi?T=JS&amp;NEWS=n&amp;CSC=Y&amp;PAGE=booktext&amp;D=books&amp;AN=01382886$&amp;XPATH=/PG(0)","http://ovidsp.ovid.com/ovidweb.cgi?T=JS&amp;NEWS=n&amp;CSC=Y&amp;PAGE=booktext&amp;D=books&amp;AN=01382886$&amp;XPATH=/PG(0)")</f>
        <v>http://ovidsp.ovid.com/ovidweb.cgi?T=JS&amp;NEWS=n&amp;CSC=Y&amp;PAGE=booktext&amp;D=books&amp;AN=01382886$&amp;XPATH=/PG(0)</v>
      </c>
      <c r="G744" s="2" t="s">
        <v>12</v>
      </c>
    </row>
    <row r="745" spans="1:7" x14ac:dyDescent="0.15">
      <c r="A745" s="2" t="s">
        <v>2251</v>
      </c>
      <c r="B745" s="2" t="s">
        <v>2252</v>
      </c>
      <c r="C745" s="2" t="s">
        <v>2253</v>
      </c>
      <c r="D745" s="2" t="s">
        <v>10</v>
      </c>
      <c r="E745" s="2" t="s">
        <v>16</v>
      </c>
      <c r="F745" s="3" t="str">
        <f>HYPERLINK("http://ovidsp.ovid.com/ovidweb.cgi?T=JS&amp;NEWS=n&amp;CSC=Y&amp;PAGE=booktext&amp;D=books&amp;AN=01382861$&amp;XPATH=/PG(0)","http://ovidsp.ovid.com/ovidweb.cgi?T=JS&amp;NEWS=n&amp;CSC=Y&amp;PAGE=booktext&amp;D=books&amp;AN=01382861$&amp;XPATH=/PG(0)")</f>
        <v>http://ovidsp.ovid.com/ovidweb.cgi?T=JS&amp;NEWS=n&amp;CSC=Y&amp;PAGE=booktext&amp;D=books&amp;AN=01382861$&amp;XPATH=/PG(0)</v>
      </c>
      <c r="G745" s="2" t="s">
        <v>12</v>
      </c>
    </row>
    <row r="746" spans="1:7" x14ac:dyDescent="0.15">
      <c r="A746" s="2" t="s">
        <v>2254</v>
      </c>
      <c r="B746" s="2" t="s">
        <v>2255</v>
      </c>
      <c r="C746" s="2" t="s">
        <v>2256</v>
      </c>
      <c r="D746" s="2" t="s">
        <v>10</v>
      </c>
      <c r="E746" s="2" t="s">
        <v>53</v>
      </c>
      <c r="F746" s="3" t="str">
        <f>HYPERLINK("http://ovidsp.ovid.com/ovidweb.cgi?T=JS&amp;NEWS=n&amp;CSC=Y&amp;PAGE=booktext&amp;D=books&amp;AN=00139986$&amp;XPATH=/PG(0)","http://ovidsp.ovid.com/ovidweb.cgi?T=JS&amp;NEWS=n&amp;CSC=Y&amp;PAGE=booktext&amp;D=books&amp;AN=00139986$&amp;XPATH=/PG(0)")</f>
        <v>http://ovidsp.ovid.com/ovidweb.cgi?T=JS&amp;NEWS=n&amp;CSC=Y&amp;PAGE=booktext&amp;D=books&amp;AN=00139986$&amp;XPATH=/PG(0)</v>
      </c>
      <c r="G746" s="2" t="s">
        <v>17</v>
      </c>
    </row>
    <row r="747" spans="1:7" x14ac:dyDescent="0.15">
      <c r="A747" s="2" t="s">
        <v>2257</v>
      </c>
      <c r="B747" s="2" t="s">
        <v>2258</v>
      </c>
      <c r="C747" s="2" t="s">
        <v>2259</v>
      </c>
      <c r="D747" s="2" t="s">
        <v>10</v>
      </c>
      <c r="E747" s="2" t="s">
        <v>45</v>
      </c>
      <c r="F747" s="3" t="str">
        <f>HYPERLINK("http://ovidsp.ovid.com/ovidweb.cgi?T=JS&amp;NEWS=n&amp;CSC=Y&amp;PAGE=booktext&amp;D=books&amp;AN=01382494$&amp;XPATH=/PG(0)","http://ovidsp.ovid.com/ovidweb.cgi?T=JS&amp;NEWS=n&amp;CSC=Y&amp;PAGE=booktext&amp;D=books&amp;AN=01382494$&amp;XPATH=/PG(0)")</f>
        <v>http://ovidsp.ovid.com/ovidweb.cgi?T=JS&amp;NEWS=n&amp;CSC=Y&amp;PAGE=booktext&amp;D=books&amp;AN=01382494$&amp;XPATH=/PG(0)</v>
      </c>
      <c r="G747" s="2" t="s">
        <v>17</v>
      </c>
    </row>
    <row r="748" spans="1:7" x14ac:dyDescent="0.15">
      <c r="A748" s="2" t="s">
        <v>2260</v>
      </c>
      <c r="B748" s="2" t="s">
        <v>2261</v>
      </c>
      <c r="C748" s="2" t="s">
        <v>2262</v>
      </c>
      <c r="D748" s="2" t="s">
        <v>10</v>
      </c>
      <c r="E748" s="2" t="s">
        <v>53</v>
      </c>
      <c r="F748" s="3" t="str">
        <f>HYPERLINK("http://ovidsp.ovid.com/ovidweb.cgi?T=JS&amp;NEWS=n&amp;CSC=Y&amp;PAGE=booktext&amp;D=books&amp;AN=00140050$&amp;XPATH=/PG(0)","http://ovidsp.ovid.com/ovidweb.cgi?T=JS&amp;NEWS=n&amp;CSC=Y&amp;PAGE=booktext&amp;D=books&amp;AN=00140050$&amp;XPATH=/PG(0)")</f>
        <v>http://ovidsp.ovid.com/ovidweb.cgi?T=JS&amp;NEWS=n&amp;CSC=Y&amp;PAGE=booktext&amp;D=books&amp;AN=00140050$&amp;XPATH=/PG(0)</v>
      </c>
      <c r="G748" s="2" t="s">
        <v>12</v>
      </c>
    </row>
    <row r="749" spans="1:7" x14ac:dyDescent="0.15">
      <c r="A749" s="2" t="s">
        <v>2263</v>
      </c>
      <c r="B749" s="2" t="s">
        <v>2264</v>
      </c>
      <c r="C749" s="2" t="s">
        <v>2265</v>
      </c>
      <c r="D749" s="2" t="s">
        <v>10</v>
      </c>
      <c r="E749" s="2" t="s">
        <v>16</v>
      </c>
      <c r="F749" s="3" t="str">
        <f>HYPERLINK("http://ovidsp.ovid.com/ovidweb.cgi?T=JS&amp;NEWS=n&amp;CSC=Y&amp;PAGE=booktext&amp;D=books&amp;AN=01382676$&amp;XPATH=/PG(0)","http://ovidsp.ovid.com/ovidweb.cgi?T=JS&amp;NEWS=n&amp;CSC=Y&amp;PAGE=booktext&amp;D=books&amp;AN=01382676$&amp;XPATH=/PG(0)")</f>
        <v>http://ovidsp.ovid.com/ovidweb.cgi?T=JS&amp;NEWS=n&amp;CSC=Y&amp;PAGE=booktext&amp;D=books&amp;AN=01382676$&amp;XPATH=/PG(0)</v>
      </c>
      <c r="G749" s="2" t="s">
        <v>17</v>
      </c>
    </row>
    <row r="750" spans="1:7" x14ac:dyDescent="0.15">
      <c r="A750" s="2" t="s">
        <v>2266</v>
      </c>
      <c r="B750" s="2" t="s">
        <v>2267</v>
      </c>
      <c r="C750" s="2" t="s">
        <v>2268</v>
      </c>
      <c r="D750" s="2" t="s">
        <v>10</v>
      </c>
      <c r="E750" s="2" t="s">
        <v>95</v>
      </c>
      <c r="F750" s="3" t="str">
        <f>HYPERLINK("http://ovidsp.ovid.com/ovidweb.cgi?T=JS&amp;NEWS=n&amp;CSC=Y&amp;PAGE=booktext&amp;D=books&amp;AN=01256976$&amp;XPATH=/PG(0)","http://ovidsp.ovid.com/ovidweb.cgi?T=JS&amp;NEWS=n&amp;CSC=Y&amp;PAGE=booktext&amp;D=books&amp;AN=01256976$&amp;XPATH=/PG(0)")</f>
        <v>http://ovidsp.ovid.com/ovidweb.cgi?T=JS&amp;NEWS=n&amp;CSC=Y&amp;PAGE=booktext&amp;D=books&amp;AN=01256976$&amp;XPATH=/PG(0)</v>
      </c>
      <c r="G750" s="2" t="s">
        <v>12</v>
      </c>
    </row>
    <row r="751" spans="1:7" x14ac:dyDescent="0.15">
      <c r="A751" s="2" t="s">
        <v>2269</v>
      </c>
      <c r="B751" s="2" t="s">
        <v>2270</v>
      </c>
      <c r="C751" s="2" t="s">
        <v>2271</v>
      </c>
      <c r="D751" s="2" t="s">
        <v>10</v>
      </c>
      <c r="E751" s="2" t="s">
        <v>16</v>
      </c>
      <c r="F751" s="3" t="str">
        <f>HYPERLINK("http://ovidsp.ovid.com/ovidweb.cgi?T=JS&amp;NEWS=n&amp;CSC=Y&amp;PAGE=booktext&amp;D=books&amp;AN=01382830$&amp;XPATH=/PG(0)","http://ovidsp.ovid.com/ovidweb.cgi?T=JS&amp;NEWS=n&amp;CSC=Y&amp;PAGE=booktext&amp;D=books&amp;AN=01382830$&amp;XPATH=/PG(0)")</f>
        <v>http://ovidsp.ovid.com/ovidweb.cgi?T=JS&amp;NEWS=n&amp;CSC=Y&amp;PAGE=booktext&amp;D=books&amp;AN=01382830$&amp;XPATH=/PG(0)</v>
      </c>
      <c r="G751" s="2" t="s">
        <v>12</v>
      </c>
    </row>
    <row r="752" spans="1:7" x14ac:dyDescent="0.15">
      <c r="A752" s="2" t="s">
        <v>2272</v>
      </c>
      <c r="B752" s="2" t="s">
        <v>2273</v>
      </c>
      <c r="C752" s="2" t="s">
        <v>2274</v>
      </c>
      <c r="D752" s="2" t="s">
        <v>10</v>
      </c>
      <c r="E752" s="2" t="s">
        <v>45</v>
      </c>
      <c r="F752" s="3" t="str">
        <f>HYPERLINK("http://ovidsp.ovid.com/ovidweb.cgi?T=JS&amp;NEWS=n&amp;CSC=Y&amp;PAGE=booktext&amp;D=books&amp;AN=01382630$&amp;XPATH=/PG(0)","http://ovidsp.ovid.com/ovidweb.cgi?T=JS&amp;NEWS=n&amp;CSC=Y&amp;PAGE=booktext&amp;D=books&amp;AN=01382630$&amp;XPATH=/PG(0)")</f>
        <v>http://ovidsp.ovid.com/ovidweb.cgi?T=JS&amp;NEWS=n&amp;CSC=Y&amp;PAGE=booktext&amp;D=books&amp;AN=01382630$&amp;XPATH=/PG(0)</v>
      </c>
      <c r="G752" s="2" t="s">
        <v>17</v>
      </c>
    </row>
    <row r="753" spans="1:7" x14ac:dyDescent="0.15">
      <c r="A753" s="2" t="s">
        <v>2275</v>
      </c>
      <c r="B753" s="2" t="s">
        <v>2276</v>
      </c>
      <c r="C753" s="2" t="s">
        <v>2277</v>
      </c>
      <c r="D753" s="2" t="s">
        <v>10</v>
      </c>
      <c r="E753" s="2" t="s">
        <v>16</v>
      </c>
      <c r="F753" s="3" t="str">
        <f>HYPERLINK("http://ovidsp.ovid.com/ovidweb.cgi?T=JS&amp;NEWS=n&amp;CSC=Y&amp;PAGE=booktext&amp;D=books&amp;AN=01223038$&amp;XPATH=/PG(0)","http://ovidsp.ovid.com/ovidweb.cgi?T=JS&amp;NEWS=n&amp;CSC=Y&amp;PAGE=booktext&amp;D=books&amp;AN=01223038$&amp;XPATH=/PG(0)")</f>
        <v>http://ovidsp.ovid.com/ovidweb.cgi?T=JS&amp;NEWS=n&amp;CSC=Y&amp;PAGE=booktext&amp;D=books&amp;AN=01223038$&amp;XPATH=/PG(0)</v>
      </c>
      <c r="G753" s="2" t="s">
        <v>17</v>
      </c>
    </row>
    <row r="754" spans="1:7" x14ac:dyDescent="0.15">
      <c r="A754" s="2" t="s">
        <v>2278</v>
      </c>
      <c r="B754" s="2" t="s">
        <v>2279</v>
      </c>
      <c r="C754" s="2" t="s">
        <v>2280</v>
      </c>
      <c r="D754" s="2" t="s">
        <v>10</v>
      </c>
      <c r="E754" s="2" t="s">
        <v>16</v>
      </c>
      <c r="F754" s="3" t="str">
        <f>HYPERLINK("http://ovidsp.ovid.com/ovidweb.cgi?T=JS&amp;NEWS=n&amp;CSC=Y&amp;PAGE=booktext&amp;D=books&amp;AN=01382759$&amp;XPATH=/PG(0)","http://ovidsp.ovid.com/ovidweb.cgi?T=JS&amp;NEWS=n&amp;CSC=Y&amp;PAGE=booktext&amp;D=books&amp;AN=01382759$&amp;XPATH=/PG(0)")</f>
        <v>http://ovidsp.ovid.com/ovidweb.cgi?T=JS&amp;NEWS=n&amp;CSC=Y&amp;PAGE=booktext&amp;D=books&amp;AN=01382759$&amp;XPATH=/PG(0)</v>
      </c>
      <c r="G754" s="2" t="s">
        <v>12</v>
      </c>
    </row>
    <row r="755" spans="1:7" x14ac:dyDescent="0.15">
      <c r="A755" s="2" t="s">
        <v>2281</v>
      </c>
      <c r="B755" s="2" t="s">
        <v>2282</v>
      </c>
      <c r="C755" s="2" t="s">
        <v>2283</v>
      </c>
      <c r="D755" s="2" t="s">
        <v>10</v>
      </c>
      <c r="E755" s="2" t="s">
        <v>16</v>
      </c>
      <c r="F755" s="3" t="str">
        <f>HYPERLINK("http://ovidsp.ovid.com/ovidweb.cgi?T=JS&amp;NEWS=n&amp;CSC=Y&amp;PAGE=booktext&amp;D=books&amp;AN=01382758$&amp;XPATH=/PG(0)","http://ovidsp.ovid.com/ovidweb.cgi?T=JS&amp;NEWS=n&amp;CSC=Y&amp;PAGE=booktext&amp;D=books&amp;AN=01382758$&amp;XPATH=/PG(0)")</f>
        <v>http://ovidsp.ovid.com/ovidweb.cgi?T=JS&amp;NEWS=n&amp;CSC=Y&amp;PAGE=booktext&amp;D=books&amp;AN=01382758$&amp;XPATH=/PG(0)</v>
      </c>
      <c r="G755" s="2" t="s">
        <v>12</v>
      </c>
    </row>
    <row r="756" spans="1:7" x14ac:dyDescent="0.15">
      <c r="A756" s="2" t="s">
        <v>2284</v>
      </c>
      <c r="B756" s="2" t="s">
        <v>2285</v>
      </c>
      <c r="C756" s="2" t="s">
        <v>2286</v>
      </c>
      <c r="D756" s="2" t="s">
        <v>10</v>
      </c>
      <c r="E756" s="2" t="s">
        <v>16</v>
      </c>
      <c r="F756" s="3" t="str">
        <f>HYPERLINK("http://ovidsp.ovid.com/ovidweb.cgi?T=JS&amp;NEWS=n&amp;CSC=Y&amp;PAGE=booktext&amp;D=books&amp;AN=01382760$&amp;XPATH=/PG(0)","http://ovidsp.ovid.com/ovidweb.cgi?T=JS&amp;NEWS=n&amp;CSC=Y&amp;PAGE=booktext&amp;D=books&amp;AN=01382760$&amp;XPATH=/PG(0)")</f>
        <v>http://ovidsp.ovid.com/ovidweb.cgi?T=JS&amp;NEWS=n&amp;CSC=Y&amp;PAGE=booktext&amp;D=books&amp;AN=01382760$&amp;XPATH=/PG(0)</v>
      </c>
      <c r="G756" s="2" t="s">
        <v>12</v>
      </c>
    </row>
    <row r="757" spans="1:7" x14ac:dyDescent="0.15">
      <c r="A757" s="2" t="s">
        <v>2287</v>
      </c>
      <c r="B757" s="2" t="s">
        <v>2288</v>
      </c>
      <c r="C757" s="2" t="s">
        <v>2289</v>
      </c>
      <c r="D757" s="2" t="s">
        <v>10</v>
      </c>
      <c r="E757" s="2" t="s">
        <v>235</v>
      </c>
      <c r="F757" s="3" t="str">
        <f>HYPERLINK("http://ovidsp.ovid.com/ovidweb.cgi?T=JS&amp;NEWS=n&amp;CSC=Y&amp;PAGE=booktext&amp;D=books&amp;AN=00140003$&amp;XPATH=/PG(0)","http://ovidsp.ovid.com/ovidweb.cgi?T=JS&amp;NEWS=n&amp;CSC=Y&amp;PAGE=booktext&amp;D=books&amp;AN=00140003$&amp;XPATH=/PG(0)")</f>
        <v>http://ovidsp.ovid.com/ovidweb.cgi?T=JS&amp;NEWS=n&amp;CSC=Y&amp;PAGE=booktext&amp;D=books&amp;AN=00140003$&amp;XPATH=/PG(0)</v>
      </c>
      <c r="G757" s="2" t="s">
        <v>17</v>
      </c>
    </row>
    <row r="758" spans="1:7" x14ac:dyDescent="0.15">
      <c r="A758" s="2" t="s">
        <v>2290</v>
      </c>
      <c r="B758" s="2" t="s">
        <v>2291</v>
      </c>
      <c r="C758" s="2" t="s">
        <v>2292</v>
      </c>
      <c r="D758" s="2" t="s">
        <v>10</v>
      </c>
      <c r="E758" s="2" t="s">
        <v>235</v>
      </c>
      <c r="F758" s="3" t="str">
        <f>HYPERLINK("http://ovidsp.ovid.com/ovidweb.cgi?T=JS&amp;NEWS=n&amp;CSC=Y&amp;PAGE=booktext&amp;D=books&amp;AN=00140004$&amp;XPATH=/PG(0)","http://ovidsp.ovid.com/ovidweb.cgi?T=JS&amp;NEWS=n&amp;CSC=Y&amp;PAGE=booktext&amp;D=books&amp;AN=00140004$&amp;XPATH=/PG(0)")</f>
        <v>http://ovidsp.ovid.com/ovidweb.cgi?T=JS&amp;NEWS=n&amp;CSC=Y&amp;PAGE=booktext&amp;D=books&amp;AN=00140004$&amp;XPATH=/PG(0)</v>
      </c>
      <c r="G758" s="2" t="s">
        <v>17</v>
      </c>
    </row>
    <row r="759" spans="1:7" x14ac:dyDescent="0.15">
      <c r="A759" s="2" t="s">
        <v>2293</v>
      </c>
      <c r="B759" s="2" t="s">
        <v>2294</v>
      </c>
      <c r="C759" s="2" t="s">
        <v>2295</v>
      </c>
      <c r="D759" s="2" t="s">
        <v>10</v>
      </c>
      <c r="E759" s="2" t="s">
        <v>95</v>
      </c>
      <c r="F759" s="3" t="str">
        <f>HYPERLINK("http://ovidsp.ovid.com/ovidweb.cgi?T=JS&amp;NEWS=n&amp;CSC=Y&amp;PAGE=booktext&amp;D=books&amp;AN=00140023$&amp;XPATH=/PG(0)","http://ovidsp.ovid.com/ovidweb.cgi?T=JS&amp;NEWS=n&amp;CSC=Y&amp;PAGE=booktext&amp;D=books&amp;AN=00140023$&amp;XPATH=/PG(0)")</f>
        <v>http://ovidsp.ovid.com/ovidweb.cgi?T=JS&amp;NEWS=n&amp;CSC=Y&amp;PAGE=booktext&amp;D=books&amp;AN=00140023$&amp;XPATH=/PG(0)</v>
      </c>
      <c r="G759" s="2" t="s">
        <v>17</v>
      </c>
    </row>
    <row r="760" spans="1:7" x14ac:dyDescent="0.15">
      <c r="A760" s="2" t="s">
        <v>2296</v>
      </c>
      <c r="B760" s="2" t="s">
        <v>2297</v>
      </c>
      <c r="C760" s="2" t="s">
        <v>2298</v>
      </c>
      <c r="D760" s="2" t="s">
        <v>10</v>
      </c>
      <c r="E760" s="2" t="s">
        <v>45</v>
      </c>
      <c r="F760" s="3" t="str">
        <f>HYPERLINK("http://ovidsp.ovid.com/ovidweb.cgi?T=JS&amp;NEWS=n&amp;CSC=Y&amp;PAGE=booktext&amp;D=books&amp;AN=01256977$&amp;XPATH=/PG(0)","http://ovidsp.ovid.com/ovidweb.cgi?T=JS&amp;NEWS=n&amp;CSC=Y&amp;PAGE=booktext&amp;D=books&amp;AN=01256977$&amp;XPATH=/PG(0)")</f>
        <v>http://ovidsp.ovid.com/ovidweb.cgi?T=JS&amp;NEWS=n&amp;CSC=Y&amp;PAGE=booktext&amp;D=books&amp;AN=01256977$&amp;XPATH=/PG(0)</v>
      </c>
      <c r="G760" s="2" t="s">
        <v>17</v>
      </c>
    </row>
    <row r="761" spans="1:7" x14ac:dyDescent="0.15">
      <c r="A761" s="2" t="s">
        <v>2296</v>
      </c>
      <c r="B761" s="2" t="s">
        <v>2299</v>
      </c>
      <c r="C761" s="2" t="s">
        <v>2300</v>
      </c>
      <c r="D761" s="2" t="s">
        <v>10</v>
      </c>
      <c r="E761" s="2" t="s">
        <v>95</v>
      </c>
      <c r="F761" s="3" t="str">
        <f>HYPERLINK("http://ovidsp.ovid.com/ovidweb.cgi?T=JS&amp;NEWS=n&amp;CSC=Y&amp;PAGE=booktext&amp;D=books&amp;AN=01337356$&amp;XPATH=/PG(0)","http://ovidsp.ovid.com/ovidweb.cgi?T=JS&amp;NEWS=n&amp;CSC=Y&amp;PAGE=booktext&amp;D=books&amp;AN=01337356$&amp;XPATH=/PG(0)")</f>
        <v>http://ovidsp.ovid.com/ovidweb.cgi?T=JS&amp;NEWS=n&amp;CSC=Y&amp;PAGE=booktext&amp;D=books&amp;AN=01337356$&amp;XPATH=/PG(0)</v>
      </c>
      <c r="G761" s="2" t="s">
        <v>17</v>
      </c>
    </row>
    <row r="762" spans="1:7" x14ac:dyDescent="0.15">
      <c r="A762" s="2" t="s">
        <v>2301</v>
      </c>
      <c r="B762" s="2" t="s">
        <v>2302</v>
      </c>
      <c r="C762" s="2" t="s">
        <v>2303</v>
      </c>
      <c r="D762" s="2" t="s">
        <v>10</v>
      </c>
      <c r="E762" s="2" t="s">
        <v>235</v>
      </c>
      <c r="F762" s="3" t="str">
        <f>HYPERLINK("http://ovidsp.ovid.com/ovidweb.cgi?T=JS&amp;NEWS=n&amp;CSC=Y&amp;PAGE=booktext&amp;D=books&amp;AN=00140005$&amp;XPATH=/PG(0)","http://ovidsp.ovid.com/ovidweb.cgi?T=JS&amp;NEWS=n&amp;CSC=Y&amp;PAGE=booktext&amp;D=books&amp;AN=00140005$&amp;XPATH=/PG(0)")</f>
        <v>http://ovidsp.ovid.com/ovidweb.cgi?T=JS&amp;NEWS=n&amp;CSC=Y&amp;PAGE=booktext&amp;D=books&amp;AN=00140005$&amp;XPATH=/PG(0)</v>
      </c>
      <c r="G762" s="2" t="s">
        <v>17</v>
      </c>
    </row>
    <row r="763" spans="1:7" x14ac:dyDescent="0.15">
      <c r="A763" s="2" t="s">
        <v>2304</v>
      </c>
      <c r="B763" s="2" t="s">
        <v>2305</v>
      </c>
      <c r="C763" s="2" t="s">
        <v>2306</v>
      </c>
      <c r="D763" s="2" t="s">
        <v>10</v>
      </c>
      <c r="E763" s="2" t="s">
        <v>95</v>
      </c>
      <c r="F763" s="3" t="str">
        <f>HYPERLINK("http://ovidsp.ovid.com/ovidweb.cgi?T=JS&amp;NEWS=n&amp;CSC=Y&amp;PAGE=booktext&amp;D=books&amp;AN=01382495$&amp;XPATH=/PG(0)","http://ovidsp.ovid.com/ovidweb.cgi?T=JS&amp;NEWS=n&amp;CSC=Y&amp;PAGE=booktext&amp;D=books&amp;AN=01382495$&amp;XPATH=/PG(0)")</f>
        <v>http://ovidsp.ovid.com/ovidweb.cgi?T=JS&amp;NEWS=n&amp;CSC=Y&amp;PAGE=booktext&amp;D=books&amp;AN=01382495$&amp;XPATH=/PG(0)</v>
      </c>
      <c r="G763" s="2" t="s">
        <v>17</v>
      </c>
    </row>
    <row r="764" spans="1:7" x14ac:dyDescent="0.15">
      <c r="A764" s="2" t="s">
        <v>2307</v>
      </c>
      <c r="B764" s="2" t="s">
        <v>2308</v>
      </c>
      <c r="C764" s="2" t="s">
        <v>2309</v>
      </c>
      <c r="D764" s="2" t="s">
        <v>10</v>
      </c>
      <c r="E764" s="2" t="s">
        <v>1241</v>
      </c>
      <c r="F764" s="3" t="str">
        <f>HYPERLINK("http://ovidsp.ovid.com/ovidweb.cgi?T=JS&amp;NEWS=n&amp;CSC=Y&amp;PAGE=booktext&amp;D=books&amp;AN=00140006$&amp;XPATH=/PG(0)","http://ovidsp.ovid.com/ovidweb.cgi?T=JS&amp;NEWS=n&amp;CSC=Y&amp;PAGE=booktext&amp;D=books&amp;AN=00140006$&amp;XPATH=/PG(0)")</f>
        <v>http://ovidsp.ovid.com/ovidweb.cgi?T=JS&amp;NEWS=n&amp;CSC=Y&amp;PAGE=booktext&amp;D=books&amp;AN=00140006$&amp;XPATH=/PG(0)</v>
      </c>
      <c r="G764" s="2" t="s">
        <v>12</v>
      </c>
    </row>
    <row r="765" spans="1:7" x14ac:dyDescent="0.15">
      <c r="A765" s="2" t="s">
        <v>2310</v>
      </c>
      <c r="B765" s="2" t="s">
        <v>2311</v>
      </c>
      <c r="C765" s="2" t="s">
        <v>2312</v>
      </c>
      <c r="D765" s="2" t="s">
        <v>10</v>
      </c>
      <c r="E765" s="2" t="s">
        <v>16</v>
      </c>
      <c r="F765" s="3" t="str">
        <f>HYPERLINK("http://ovidsp.ovid.com/ovidweb.cgi?T=JS&amp;NEWS=n&amp;CSC=Y&amp;PAGE=booktext&amp;D=books&amp;AN=01382577$&amp;XPATH=/PG(0)","http://ovidsp.ovid.com/ovidweb.cgi?T=JS&amp;NEWS=n&amp;CSC=Y&amp;PAGE=booktext&amp;D=books&amp;AN=01382577$&amp;XPATH=/PG(0)")</f>
        <v>http://ovidsp.ovid.com/ovidweb.cgi?T=JS&amp;NEWS=n&amp;CSC=Y&amp;PAGE=booktext&amp;D=books&amp;AN=01382577$&amp;XPATH=/PG(0)</v>
      </c>
      <c r="G765" s="2" t="s">
        <v>12</v>
      </c>
    </row>
    <row r="766" spans="1:7" x14ac:dyDescent="0.15">
      <c r="A766" s="2" t="s">
        <v>2313</v>
      </c>
      <c r="B766" s="2" t="s">
        <v>2314</v>
      </c>
      <c r="C766" s="2" t="s">
        <v>2315</v>
      </c>
      <c r="D766" s="2" t="s">
        <v>10</v>
      </c>
      <c r="E766" s="2" t="s">
        <v>606</v>
      </c>
      <c r="F766" s="3" t="str">
        <f>HYPERLINK("http://ovidsp.ovid.com/ovidweb.cgi?T=JS&amp;NEWS=n&amp;CSC=Y&amp;PAGE=booktext&amp;D=books&amp;AN=00140007$&amp;XPATH=/PG(0)","http://ovidsp.ovid.com/ovidweb.cgi?T=JS&amp;NEWS=n&amp;CSC=Y&amp;PAGE=booktext&amp;D=books&amp;AN=00140007$&amp;XPATH=/PG(0)")</f>
        <v>http://ovidsp.ovid.com/ovidweb.cgi?T=JS&amp;NEWS=n&amp;CSC=Y&amp;PAGE=booktext&amp;D=books&amp;AN=00140007$&amp;XPATH=/PG(0)</v>
      </c>
      <c r="G766" s="2" t="s">
        <v>17</v>
      </c>
    </row>
    <row r="767" spans="1:7" x14ac:dyDescent="0.15">
      <c r="A767" s="2" t="s">
        <v>2316</v>
      </c>
      <c r="B767" s="2" t="s">
        <v>2317</v>
      </c>
      <c r="C767" s="2" t="s">
        <v>2318</v>
      </c>
      <c r="D767" s="2" t="s">
        <v>10</v>
      </c>
      <c r="E767" s="2" t="s">
        <v>16</v>
      </c>
      <c r="F767" s="3" t="str">
        <f>HYPERLINK("http://ovidsp.ovid.com/ovidweb.cgi?T=JS&amp;NEWS=n&amp;CSC=Y&amp;PAGE=booktext&amp;D=books&amp;AN=01279763$&amp;XPATH=/PG(0)","http://ovidsp.ovid.com/ovidweb.cgi?T=JS&amp;NEWS=n&amp;CSC=Y&amp;PAGE=booktext&amp;D=books&amp;AN=01279763$&amp;XPATH=/PG(0)")</f>
        <v>http://ovidsp.ovid.com/ovidweb.cgi?T=JS&amp;NEWS=n&amp;CSC=Y&amp;PAGE=booktext&amp;D=books&amp;AN=01279763$&amp;XPATH=/PG(0)</v>
      </c>
      <c r="G767" s="2" t="s">
        <v>17</v>
      </c>
    </row>
    <row r="768" spans="1:7" x14ac:dyDescent="0.15">
      <c r="A768" s="2" t="s">
        <v>2319</v>
      </c>
      <c r="B768" s="2" t="s">
        <v>2320</v>
      </c>
      <c r="C768" s="2" t="s">
        <v>2321</v>
      </c>
      <c r="D768" s="2" t="s">
        <v>10</v>
      </c>
      <c r="E768" s="2" t="s">
        <v>16</v>
      </c>
      <c r="F768" s="3" t="str">
        <f>HYPERLINK("http://ovidsp.ovid.com/ovidweb.cgi?T=JS&amp;NEWS=n&amp;CSC=Y&amp;PAGE=booktext&amp;D=books&amp;AN=01382679$&amp;XPATH=/PG(0)","http://ovidsp.ovid.com/ovidweb.cgi?T=JS&amp;NEWS=n&amp;CSC=Y&amp;PAGE=booktext&amp;D=books&amp;AN=01382679$&amp;XPATH=/PG(0)")</f>
        <v>http://ovidsp.ovid.com/ovidweb.cgi?T=JS&amp;NEWS=n&amp;CSC=Y&amp;PAGE=booktext&amp;D=books&amp;AN=01382679$&amp;XPATH=/PG(0)</v>
      </c>
      <c r="G768" s="2" t="s">
        <v>17</v>
      </c>
    </row>
    <row r="769" spans="1:7" x14ac:dyDescent="0.15">
      <c r="A769" s="2" t="s">
        <v>2322</v>
      </c>
      <c r="B769" s="2" t="s">
        <v>2323</v>
      </c>
      <c r="C769" s="2" t="s">
        <v>2324</v>
      </c>
      <c r="D769" s="2" t="s">
        <v>10</v>
      </c>
      <c r="E769" s="2" t="s">
        <v>16</v>
      </c>
      <c r="F769" s="3" t="str">
        <f>HYPERLINK("http://ovidsp.ovid.com/ovidweb.cgi?T=JS&amp;NEWS=n&amp;CSC=Y&amp;PAGE=booktext&amp;D=books&amp;AN=01382698$&amp;XPATH=/PG(0)","http://ovidsp.ovid.com/ovidweb.cgi?T=JS&amp;NEWS=n&amp;CSC=Y&amp;PAGE=booktext&amp;D=books&amp;AN=01382698$&amp;XPATH=/PG(0)")</f>
        <v>http://ovidsp.ovid.com/ovidweb.cgi?T=JS&amp;NEWS=n&amp;CSC=Y&amp;PAGE=booktext&amp;D=books&amp;AN=01382698$&amp;XPATH=/PG(0)</v>
      </c>
      <c r="G769" s="2" t="s">
        <v>17</v>
      </c>
    </row>
    <row r="770" spans="1:7" x14ac:dyDescent="0.15">
      <c r="A770" s="2" t="s">
        <v>2325</v>
      </c>
      <c r="B770" s="2" t="s">
        <v>2326</v>
      </c>
      <c r="C770" s="2" t="s">
        <v>2327</v>
      </c>
      <c r="D770" s="2" t="s">
        <v>10</v>
      </c>
      <c r="E770" s="2" t="s">
        <v>45</v>
      </c>
      <c r="F770" s="3" t="str">
        <f>HYPERLINK("http://ovidsp.ovid.com/ovidweb.cgi?T=JS&amp;NEWS=n&amp;CSC=Y&amp;PAGE=booktext&amp;D=books&amp;AN=01382678$&amp;XPATH=/PG(0)","http://ovidsp.ovid.com/ovidweb.cgi?T=JS&amp;NEWS=n&amp;CSC=Y&amp;PAGE=booktext&amp;D=books&amp;AN=01382678$&amp;XPATH=/PG(0)")</f>
        <v>http://ovidsp.ovid.com/ovidweb.cgi?T=JS&amp;NEWS=n&amp;CSC=Y&amp;PAGE=booktext&amp;D=books&amp;AN=01382678$&amp;XPATH=/PG(0)</v>
      </c>
      <c r="G770" s="2" t="s">
        <v>17</v>
      </c>
    </row>
    <row r="771" spans="1:7" x14ac:dyDescent="0.15">
      <c r="A771" s="2" t="s">
        <v>2328</v>
      </c>
      <c r="B771" s="2" t="s">
        <v>2329</v>
      </c>
      <c r="C771" s="2" t="s">
        <v>2330</v>
      </c>
      <c r="D771" s="2" t="s">
        <v>10</v>
      </c>
      <c r="E771" s="2" t="s">
        <v>45</v>
      </c>
      <c r="F771" s="3" t="str">
        <f>HYPERLINK("http://ovidsp.ovid.com/ovidweb.cgi?T=JS&amp;NEWS=n&amp;CSC=Y&amp;PAGE=booktext&amp;D=books&amp;AN=01382831$&amp;XPATH=/PG(0)","http://ovidsp.ovid.com/ovidweb.cgi?T=JS&amp;NEWS=n&amp;CSC=Y&amp;PAGE=booktext&amp;D=books&amp;AN=01382831$&amp;XPATH=/PG(0)")</f>
        <v>http://ovidsp.ovid.com/ovidweb.cgi?T=JS&amp;NEWS=n&amp;CSC=Y&amp;PAGE=booktext&amp;D=books&amp;AN=01382831$&amp;XPATH=/PG(0)</v>
      </c>
      <c r="G771" s="2" t="s">
        <v>12</v>
      </c>
    </row>
    <row r="772" spans="1:7" x14ac:dyDescent="0.15">
      <c r="A772" s="2" t="s">
        <v>2331</v>
      </c>
      <c r="B772" s="2" t="s">
        <v>2332</v>
      </c>
      <c r="C772" s="2" t="s">
        <v>2333</v>
      </c>
      <c r="D772" s="2" t="s">
        <v>10</v>
      </c>
      <c r="E772" s="2" t="s">
        <v>16</v>
      </c>
      <c r="F772" s="3" t="str">
        <f>HYPERLINK("http://ovidsp.ovid.com/ovidweb.cgi?T=JS&amp;NEWS=n&amp;CSC=Y&amp;PAGE=booktext&amp;D=books&amp;AN=01382836$&amp;XPATH=/PG(0)","http://ovidsp.ovid.com/ovidweb.cgi?T=JS&amp;NEWS=n&amp;CSC=Y&amp;PAGE=booktext&amp;D=books&amp;AN=01382836$&amp;XPATH=/PG(0)")</f>
        <v>http://ovidsp.ovid.com/ovidweb.cgi?T=JS&amp;NEWS=n&amp;CSC=Y&amp;PAGE=booktext&amp;D=books&amp;AN=01382836$&amp;XPATH=/PG(0)</v>
      </c>
      <c r="G772" s="2" t="s">
        <v>12</v>
      </c>
    </row>
    <row r="773" spans="1:7" x14ac:dyDescent="0.15">
      <c r="A773" s="2" t="s">
        <v>2334</v>
      </c>
      <c r="B773" s="2" t="s">
        <v>2335</v>
      </c>
      <c r="C773" s="2" t="s">
        <v>2336</v>
      </c>
      <c r="D773" s="2" t="s">
        <v>10</v>
      </c>
      <c r="E773" s="2" t="s">
        <v>16</v>
      </c>
      <c r="F773" s="3" t="str">
        <f>HYPERLINK("http://ovidsp.ovid.com/ovidweb.cgi?T=JS&amp;NEWS=n&amp;CSC=Y&amp;PAGE=booktext&amp;D=books&amp;AN=01382795$&amp;XPATH=/PG(0)","http://ovidsp.ovid.com/ovidweb.cgi?T=JS&amp;NEWS=n&amp;CSC=Y&amp;PAGE=booktext&amp;D=books&amp;AN=01382795$&amp;XPATH=/PG(0)")</f>
        <v>http://ovidsp.ovid.com/ovidweb.cgi?T=JS&amp;NEWS=n&amp;CSC=Y&amp;PAGE=booktext&amp;D=books&amp;AN=01382795$&amp;XPATH=/PG(0)</v>
      </c>
      <c r="G773" s="2" t="s">
        <v>12</v>
      </c>
    </row>
    <row r="774" spans="1:7" x14ac:dyDescent="0.15">
      <c r="A774" s="2" t="s">
        <v>2337</v>
      </c>
      <c r="B774" s="2" t="s">
        <v>2338</v>
      </c>
      <c r="C774" s="2" t="s">
        <v>2339</v>
      </c>
      <c r="D774" s="2" t="s">
        <v>10</v>
      </c>
      <c r="E774" s="2" t="s">
        <v>45</v>
      </c>
      <c r="F774" s="3" t="str">
        <f>HYPERLINK("http://ovidsp.ovid.com/ovidweb.cgi?T=JS&amp;NEWS=n&amp;CSC=Y&amp;PAGE=booktext&amp;D=books&amp;AN=01382793$&amp;XPATH=/PG(0)","http://ovidsp.ovid.com/ovidweb.cgi?T=JS&amp;NEWS=n&amp;CSC=Y&amp;PAGE=booktext&amp;D=books&amp;AN=01382793$&amp;XPATH=/PG(0)")</f>
        <v>http://ovidsp.ovid.com/ovidweb.cgi?T=JS&amp;NEWS=n&amp;CSC=Y&amp;PAGE=booktext&amp;D=books&amp;AN=01382793$&amp;XPATH=/PG(0)</v>
      </c>
      <c r="G774" s="2" t="s">
        <v>12</v>
      </c>
    </row>
    <row r="775" spans="1:7" x14ac:dyDescent="0.15">
      <c r="A775" s="2" t="s">
        <v>2340</v>
      </c>
      <c r="B775" s="2" t="s">
        <v>2341</v>
      </c>
      <c r="C775" s="2" t="s">
        <v>2342</v>
      </c>
      <c r="D775" s="2" t="s">
        <v>10</v>
      </c>
      <c r="E775" s="2" t="s">
        <v>16</v>
      </c>
      <c r="F775" s="3" t="str">
        <f>HYPERLINK("http://ovidsp.ovid.com/ovidweb.cgi?T=JS&amp;NEWS=n&amp;CSC=Y&amp;PAGE=booktext&amp;D=books&amp;AN=01382502$&amp;XPATH=/PG(0)","http://ovidsp.ovid.com/ovidweb.cgi?T=JS&amp;NEWS=n&amp;CSC=Y&amp;PAGE=booktext&amp;D=books&amp;AN=01382502$&amp;XPATH=/PG(0)")</f>
        <v>http://ovidsp.ovid.com/ovidweb.cgi?T=JS&amp;NEWS=n&amp;CSC=Y&amp;PAGE=booktext&amp;D=books&amp;AN=01382502$&amp;XPATH=/PG(0)</v>
      </c>
      <c r="G775" s="2" t="s">
        <v>12</v>
      </c>
    </row>
    <row r="776" spans="1:7" x14ac:dyDescent="0.15">
      <c r="A776" s="2" t="s">
        <v>2343</v>
      </c>
      <c r="B776" s="2" t="s">
        <v>2344</v>
      </c>
      <c r="C776" s="2" t="s">
        <v>2345</v>
      </c>
      <c r="D776" s="2" t="s">
        <v>10</v>
      </c>
      <c r="E776" s="2" t="s">
        <v>45</v>
      </c>
      <c r="F776" s="3" t="str">
        <f>HYPERLINK("http://ovidsp.ovid.com/ovidweb.cgi?T=JS&amp;NEWS=n&amp;CSC=Y&amp;PAGE=booktext&amp;D=books&amp;AN=01382794$&amp;XPATH=/PG(0)","http://ovidsp.ovid.com/ovidweb.cgi?T=JS&amp;NEWS=n&amp;CSC=Y&amp;PAGE=booktext&amp;D=books&amp;AN=01382794$&amp;XPATH=/PG(0)")</f>
        <v>http://ovidsp.ovid.com/ovidweb.cgi?T=JS&amp;NEWS=n&amp;CSC=Y&amp;PAGE=booktext&amp;D=books&amp;AN=01382794$&amp;XPATH=/PG(0)</v>
      </c>
      <c r="G776" s="2" t="s">
        <v>12</v>
      </c>
    </row>
    <row r="777" spans="1:7" x14ac:dyDescent="0.15">
      <c r="A777" s="2" t="s">
        <v>2346</v>
      </c>
      <c r="B777" s="2" t="s">
        <v>2347</v>
      </c>
      <c r="C777" s="2" t="s">
        <v>2348</v>
      </c>
      <c r="D777" s="2" t="s">
        <v>10</v>
      </c>
      <c r="E777" s="2" t="s">
        <v>49</v>
      </c>
      <c r="F777" s="3" t="str">
        <f>HYPERLINK("http://ovidsp.ovid.com/ovidweb.cgi?T=JS&amp;NEWS=n&amp;CSC=Y&amp;PAGE=booktext&amp;D=books&amp;AN=01382496$&amp;XPATH=/PG(0)","http://ovidsp.ovid.com/ovidweb.cgi?T=JS&amp;NEWS=n&amp;CSC=Y&amp;PAGE=booktext&amp;D=books&amp;AN=01382496$&amp;XPATH=/PG(0)")</f>
        <v>http://ovidsp.ovid.com/ovidweb.cgi?T=JS&amp;NEWS=n&amp;CSC=Y&amp;PAGE=booktext&amp;D=books&amp;AN=01382496$&amp;XPATH=/PG(0)</v>
      </c>
      <c r="G777" s="2" t="s">
        <v>17</v>
      </c>
    </row>
    <row r="778" spans="1:7" x14ac:dyDescent="0.15">
      <c r="A778" s="2" t="s">
        <v>2349</v>
      </c>
      <c r="B778" s="2" t="s">
        <v>2350</v>
      </c>
      <c r="C778" s="2" t="s">
        <v>2351</v>
      </c>
      <c r="D778" s="2" t="s">
        <v>10</v>
      </c>
      <c r="E778" s="2" t="s">
        <v>16</v>
      </c>
      <c r="F778" s="3" t="str">
        <f>HYPERLINK("http://ovidsp.ovid.com/ovidweb.cgi?T=JS&amp;NEWS=n&amp;CSC=Y&amp;PAGE=booktext&amp;D=books&amp;AN=01279764$&amp;XPATH=/PG(0)","http://ovidsp.ovid.com/ovidweb.cgi?T=JS&amp;NEWS=n&amp;CSC=Y&amp;PAGE=booktext&amp;D=books&amp;AN=01279764$&amp;XPATH=/PG(0)")</f>
        <v>http://ovidsp.ovid.com/ovidweb.cgi?T=JS&amp;NEWS=n&amp;CSC=Y&amp;PAGE=booktext&amp;D=books&amp;AN=01279764$&amp;XPATH=/PG(0)</v>
      </c>
      <c r="G778" s="2" t="s">
        <v>17</v>
      </c>
    </row>
    <row r="779" spans="1:7" x14ac:dyDescent="0.15">
      <c r="A779" s="2" t="s">
        <v>2352</v>
      </c>
      <c r="B779" s="2" t="s">
        <v>2353</v>
      </c>
      <c r="C779" s="2" t="s">
        <v>2354</v>
      </c>
      <c r="D779" s="2" t="s">
        <v>10</v>
      </c>
      <c r="E779" s="2" t="s">
        <v>16</v>
      </c>
      <c r="F779" s="3" t="str">
        <f>HYPERLINK("http://ovidsp.ovid.com/ovidweb.cgi?T=JS&amp;NEWS=n&amp;CSC=Y&amp;PAGE=booktext&amp;D=books&amp;AN=01382681$&amp;XPATH=/PG(0)","http://ovidsp.ovid.com/ovidweb.cgi?T=JS&amp;NEWS=n&amp;CSC=Y&amp;PAGE=booktext&amp;D=books&amp;AN=01382681$&amp;XPATH=/PG(0)")</f>
        <v>http://ovidsp.ovid.com/ovidweb.cgi?T=JS&amp;NEWS=n&amp;CSC=Y&amp;PAGE=booktext&amp;D=books&amp;AN=01382681$&amp;XPATH=/PG(0)</v>
      </c>
      <c r="G779" s="2" t="s">
        <v>17</v>
      </c>
    </row>
    <row r="780" spans="1:7" x14ac:dyDescent="0.15">
      <c r="A780" s="2" t="s">
        <v>2355</v>
      </c>
      <c r="B780" s="2" t="s">
        <v>2356</v>
      </c>
      <c r="C780" s="2" t="s">
        <v>2357</v>
      </c>
      <c r="D780" s="2" t="s">
        <v>10</v>
      </c>
      <c r="E780" s="2" t="s">
        <v>16</v>
      </c>
      <c r="F780" s="3" t="str">
        <f>HYPERLINK("http://ovidsp.ovid.com/ovidweb.cgi?T=JS&amp;NEWS=n&amp;CSC=Y&amp;PAGE=booktext&amp;D=books&amp;AN=01382559$&amp;XPATH=/PG(0)","http://ovidsp.ovid.com/ovidweb.cgi?T=JS&amp;NEWS=n&amp;CSC=Y&amp;PAGE=booktext&amp;D=books&amp;AN=01382559$&amp;XPATH=/PG(0)")</f>
        <v>http://ovidsp.ovid.com/ovidweb.cgi?T=JS&amp;NEWS=n&amp;CSC=Y&amp;PAGE=booktext&amp;D=books&amp;AN=01382559$&amp;XPATH=/PG(0)</v>
      </c>
      <c r="G780" s="2" t="s">
        <v>17</v>
      </c>
    </row>
    <row r="781" spans="1:7" x14ac:dyDescent="0.15">
      <c r="A781" s="2" t="s">
        <v>2358</v>
      </c>
      <c r="B781" s="2" t="s">
        <v>2359</v>
      </c>
      <c r="C781" s="2" t="s">
        <v>2360</v>
      </c>
      <c r="D781" s="2" t="s">
        <v>10</v>
      </c>
      <c r="E781" s="2" t="s">
        <v>45</v>
      </c>
      <c r="F781" s="3" t="str">
        <f>HYPERLINK("http://ovidsp.ovid.com/ovidweb.cgi?T=JS&amp;NEWS=n&amp;CSC=Y&amp;PAGE=booktext&amp;D=books&amp;AN=00140008$&amp;XPATH=/PG(0)","http://ovidsp.ovid.com/ovidweb.cgi?T=JS&amp;NEWS=n&amp;CSC=Y&amp;PAGE=booktext&amp;D=books&amp;AN=00140008$&amp;XPATH=/PG(0)")</f>
        <v>http://ovidsp.ovid.com/ovidweb.cgi?T=JS&amp;NEWS=n&amp;CSC=Y&amp;PAGE=booktext&amp;D=books&amp;AN=00140008$&amp;XPATH=/PG(0)</v>
      </c>
      <c r="G781" s="2" t="s">
        <v>17</v>
      </c>
    </row>
    <row r="782" spans="1:7" x14ac:dyDescent="0.15">
      <c r="A782" s="2" t="s">
        <v>2361</v>
      </c>
      <c r="B782" s="2" t="s">
        <v>2362</v>
      </c>
      <c r="C782" s="2" t="s">
        <v>2363</v>
      </c>
      <c r="D782" s="2" t="s">
        <v>10</v>
      </c>
      <c r="E782" s="2" t="s">
        <v>16</v>
      </c>
      <c r="F782" s="3" t="str">
        <f>HYPERLINK("http://ovidsp.ovid.com/ovidweb.cgi?T=JS&amp;NEWS=n&amp;CSC=Y&amp;PAGE=booktext&amp;D=books&amp;AN=01382631$&amp;XPATH=/PG(0)","http://ovidsp.ovid.com/ovidweb.cgi?T=JS&amp;NEWS=n&amp;CSC=Y&amp;PAGE=booktext&amp;D=books&amp;AN=01382631$&amp;XPATH=/PG(0)")</f>
        <v>http://ovidsp.ovid.com/ovidweb.cgi?T=JS&amp;NEWS=n&amp;CSC=Y&amp;PAGE=booktext&amp;D=books&amp;AN=01382631$&amp;XPATH=/PG(0)</v>
      </c>
      <c r="G782" s="2" t="s">
        <v>17</v>
      </c>
    </row>
    <row r="783" spans="1:7" x14ac:dyDescent="0.15">
      <c r="A783" s="2" t="s">
        <v>2364</v>
      </c>
      <c r="B783" s="2" t="s">
        <v>2365</v>
      </c>
      <c r="C783" s="2" t="s">
        <v>2366</v>
      </c>
      <c r="D783" s="2" t="s">
        <v>10</v>
      </c>
      <c r="E783" s="2" t="s">
        <v>49</v>
      </c>
      <c r="F783" s="3" t="str">
        <f>HYPERLINK("http://ovidsp.ovid.com/ovidweb.cgi?T=JS&amp;NEWS=n&amp;CSC=Y&amp;PAGE=booktext&amp;D=books&amp;AN=01382790$&amp;XPATH=/PG(0)","http://ovidsp.ovid.com/ovidweb.cgi?T=JS&amp;NEWS=n&amp;CSC=Y&amp;PAGE=booktext&amp;D=books&amp;AN=01382790$&amp;XPATH=/PG(0)")</f>
        <v>http://ovidsp.ovid.com/ovidweb.cgi?T=JS&amp;NEWS=n&amp;CSC=Y&amp;PAGE=booktext&amp;D=books&amp;AN=01382790$&amp;XPATH=/PG(0)</v>
      </c>
      <c r="G783" s="2" t="s">
        <v>12</v>
      </c>
    </row>
    <row r="784" spans="1:7" x14ac:dyDescent="0.15">
      <c r="A784" s="2" t="s">
        <v>2367</v>
      </c>
      <c r="B784" s="2" t="s">
        <v>2368</v>
      </c>
      <c r="C784" s="2" t="s">
        <v>2369</v>
      </c>
      <c r="D784" s="2" t="s">
        <v>10</v>
      </c>
      <c r="E784" s="2" t="s">
        <v>49</v>
      </c>
      <c r="F784" s="3" t="str">
        <f>HYPERLINK("http://ovidsp.ovid.com/ovidweb.cgi?T=JS&amp;NEWS=n&amp;CSC=Y&amp;PAGE=booktext&amp;D=books&amp;AN=01382791$&amp;XPATH=/PG(0)","http://ovidsp.ovid.com/ovidweb.cgi?T=JS&amp;NEWS=n&amp;CSC=Y&amp;PAGE=booktext&amp;D=books&amp;AN=01382791$&amp;XPATH=/PG(0)")</f>
        <v>http://ovidsp.ovid.com/ovidweb.cgi?T=JS&amp;NEWS=n&amp;CSC=Y&amp;PAGE=booktext&amp;D=books&amp;AN=01382791$&amp;XPATH=/PG(0)</v>
      </c>
      <c r="G784" s="2" t="s">
        <v>12</v>
      </c>
    </row>
    <row r="785" spans="1:7" x14ac:dyDescent="0.15">
      <c r="A785" s="2" t="s">
        <v>2370</v>
      </c>
      <c r="B785" s="2" t="s">
        <v>2371</v>
      </c>
      <c r="C785" s="2" t="s">
        <v>2372</v>
      </c>
      <c r="D785" s="2" t="s">
        <v>10</v>
      </c>
      <c r="E785" s="2" t="s">
        <v>95</v>
      </c>
      <c r="F785" s="3" t="str">
        <f>HYPERLINK("http://ovidsp.ovid.com/ovidweb.cgi?T=JS&amp;NEWS=n&amp;CSC=Y&amp;PAGE=booktext&amp;D=books&amp;AN=01382505$&amp;XPATH=/PG(0)","http://ovidsp.ovid.com/ovidweb.cgi?T=JS&amp;NEWS=n&amp;CSC=Y&amp;PAGE=booktext&amp;D=books&amp;AN=01382505$&amp;XPATH=/PG(0)")</f>
        <v>http://ovidsp.ovid.com/ovidweb.cgi?T=JS&amp;NEWS=n&amp;CSC=Y&amp;PAGE=booktext&amp;D=books&amp;AN=01382505$&amp;XPATH=/PG(0)</v>
      </c>
      <c r="G785" s="2" t="s">
        <v>12</v>
      </c>
    </row>
    <row r="786" spans="1:7" x14ac:dyDescent="0.15">
      <c r="A786" s="2" t="s">
        <v>2373</v>
      </c>
      <c r="B786" s="2" t="s">
        <v>2374</v>
      </c>
      <c r="C786" s="2" t="s">
        <v>2375</v>
      </c>
      <c r="D786" s="2" t="s">
        <v>10</v>
      </c>
      <c r="E786" s="2" t="s">
        <v>16</v>
      </c>
      <c r="F786" s="3" t="str">
        <f>HYPERLINK("http://ovidsp.ovid.com/ovidweb.cgi?T=JS&amp;NEWS=n&amp;CSC=Y&amp;PAGE=booktext&amp;D=books&amp;AN=01382641$&amp;XPATH=/PG(0)","http://ovidsp.ovid.com/ovidweb.cgi?T=JS&amp;NEWS=n&amp;CSC=Y&amp;PAGE=booktext&amp;D=books&amp;AN=01382641$&amp;XPATH=/PG(0)")</f>
        <v>http://ovidsp.ovid.com/ovidweb.cgi?T=JS&amp;NEWS=n&amp;CSC=Y&amp;PAGE=booktext&amp;D=books&amp;AN=01382641$&amp;XPATH=/PG(0)</v>
      </c>
      <c r="G786" s="2" t="s">
        <v>17</v>
      </c>
    </row>
    <row r="787" spans="1:7" x14ac:dyDescent="0.15">
      <c r="A787" s="2" t="s">
        <v>2376</v>
      </c>
      <c r="B787" s="2" t="s">
        <v>2377</v>
      </c>
      <c r="C787" s="2" t="s">
        <v>2378</v>
      </c>
      <c r="D787" s="2" t="s">
        <v>10</v>
      </c>
      <c r="E787" s="2" t="s">
        <v>16</v>
      </c>
      <c r="F787" s="3" t="str">
        <f>HYPERLINK("http://ovidsp.ovid.com/ovidweb.cgi?T=JS&amp;NEWS=n&amp;CSC=Y&amp;PAGE=booktext&amp;D=books&amp;AN=01382542$&amp;XPATH=/PG(0)","http://ovidsp.ovid.com/ovidweb.cgi?T=JS&amp;NEWS=n&amp;CSC=Y&amp;PAGE=booktext&amp;D=books&amp;AN=01382542$&amp;XPATH=/PG(0)")</f>
        <v>http://ovidsp.ovid.com/ovidweb.cgi?T=JS&amp;NEWS=n&amp;CSC=Y&amp;PAGE=booktext&amp;D=books&amp;AN=01382542$&amp;XPATH=/PG(0)</v>
      </c>
      <c r="G787" s="2" t="s">
        <v>17</v>
      </c>
    </row>
    <row r="788" spans="1:7" x14ac:dyDescent="0.15">
      <c r="A788" s="2" t="s">
        <v>2379</v>
      </c>
      <c r="B788" s="2" t="s">
        <v>2380</v>
      </c>
      <c r="C788" s="2" t="s">
        <v>2381</v>
      </c>
      <c r="D788" s="2" t="s">
        <v>10</v>
      </c>
      <c r="E788" s="2" t="s">
        <v>49</v>
      </c>
      <c r="F788" s="3" t="str">
        <f>HYPERLINK("http://ovidsp.ovid.com/ovidweb.cgi?T=JS&amp;NEWS=n&amp;CSC=Y&amp;PAGE=booktext&amp;D=books&amp;AN=01209207$&amp;XPATH=/PG(0)","http://ovidsp.ovid.com/ovidweb.cgi?T=JS&amp;NEWS=n&amp;CSC=Y&amp;PAGE=booktext&amp;D=books&amp;AN=01209207$&amp;XPATH=/PG(0)")</f>
        <v>http://ovidsp.ovid.com/ovidweb.cgi?T=JS&amp;NEWS=n&amp;CSC=Y&amp;PAGE=booktext&amp;D=books&amp;AN=01209207$&amp;XPATH=/PG(0)</v>
      </c>
      <c r="G788" s="2" t="s">
        <v>17</v>
      </c>
    </row>
    <row r="789" spans="1:7" x14ac:dyDescent="0.15">
      <c r="A789" s="2" t="s">
        <v>2382</v>
      </c>
      <c r="B789" s="2" t="s">
        <v>2383</v>
      </c>
      <c r="C789" s="2" t="s">
        <v>2384</v>
      </c>
      <c r="D789" s="2" t="s">
        <v>10</v>
      </c>
      <c r="E789" s="2" t="s">
        <v>16</v>
      </c>
      <c r="F789" s="3" t="str">
        <f>HYPERLINK("http://ovidsp.ovid.com/ovidweb.cgi?T=JS&amp;NEWS=n&amp;CSC=Y&amp;PAGE=booktext&amp;D=books&amp;AN=01382525$&amp;XPATH=/PG(0)","http://ovidsp.ovid.com/ovidweb.cgi?T=JS&amp;NEWS=n&amp;CSC=Y&amp;PAGE=booktext&amp;D=books&amp;AN=01382525$&amp;XPATH=/PG(0)")</f>
        <v>http://ovidsp.ovid.com/ovidweb.cgi?T=JS&amp;NEWS=n&amp;CSC=Y&amp;PAGE=booktext&amp;D=books&amp;AN=01382525$&amp;XPATH=/PG(0)</v>
      </c>
      <c r="G789" s="2" t="s">
        <v>17</v>
      </c>
    </row>
    <row r="790" spans="1:7" x14ac:dyDescent="0.15">
      <c r="A790" s="2" t="s">
        <v>2385</v>
      </c>
      <c r="B790" s="2" t="s">
        <v>2386</v>
      </c>
      <c r="C790" s="2" t="s">
        <v>2387</v>
      </c>
      <c r="D790" s="2" t="s">
        <v>10</v>
      </c>
      <c r="E790" s="2" t="s">
        <v>16</v>
      </c>
      <c r="F790" s="3" t="str">
        <f>HYPERLINK("http://ovidsp.ovid.com/ovidweb.cgi?T=JS&amp;NEWS=n&amp;CSC=Y&amp;PAGE=booktext&amp;D=books&amp;AN=01382786$&amp;XPATH=/PG(0)","http://ovidsp.ovid.com/ovidweb.cgi?T=JS&amp;NEWS=n&amp;CSC=Y&amp;PAGE=booktext&amp;D=books&amp;AN=01382786$&amp;XPATH=/PG(0)")</f>
        <v>http://ovidsp.ovid.com/ovidweb.cgi?T=JS&amp;NEWS=n&amp;CSC=Y&amp;PAGE=booktext&amp;D=books&amp;AN=01382786$&amp;XPATH=/PG(0)</v>
      </c>
      <c r="G790" s="2" t="s">
        <v>12</v>
      </c>
    </row>
    <row r="791" spans="1:7" x14ac:dyDescent="0.15">
      <c r="A791" s="2" t="s">
        <v>2388</v>
      </c>
      <c r="B791" s="2" t="s">
        <v>2389</v>
      </c>
      <c r="C791" s="2" t="s">
        <v>2390</v>
      </c>
      <c r="D791" s="2" t="s">
        <v>10</v>
      </c>
      <c r="E791" s="2" t="s">
        <v>16</v>
      </c>
      <c r="F791" s="3" t="str">
        <f>HYPERLINK("http://ovidsp.ovid.com/ovidweb.cgi?T=JS&amp;NEWS=n&amp;CSC=Y&amp;PAGE=booktext&amp;D=books&amp;AN=01382787$&amp;XPATH=/PG(0)","http://ovidsp.ovid.com/ovidweb.cgi?T=JS&amp;NEWS=n&amp;CSC=Y&amp;PAGE=booktext&amp;D=books&amp;AN=01382787$&amp;XPATH=/PG(0)")</f>
        <v>http://ovidsp.ovid.com/ovidweb.cgi?T=JS&amp;NEWS=n&amp;CSC=Y&amp;PAGE=booktext&amp;D=books&amp;AN=01382787$&amp;XPATH=/PG(0)</v>
      </c>
      <c r="G791" s="2" t="s">
        <v>12</v>
      </c>
    </row>
    <row r="792" spans="1:7" x14ac:dyDescent="0.15">
      <c r="A792" s="2" t="s">
        <v>2391</v>
      </c>
      <c r="B792" s="2" t="s">
        <v>2392</v>
      </c>
      <c r="C792" s="2" t="s">
        <v>2393</v>
      </c>
      <c r="D792" s="2" t="s">
        <v>10</v>
      </c>
      <c r="E792" s="2" t="s">
        <v>45</v>
      </c>
      <c r="F792" s="3" t="str">
        <f>HYPERLINK("http://ovidsp.ovid.com/ovidweb.cgi?T=JS&amp;NEWS=n&amp;CSC=Y&amp;PAGE=booktext&amp;D=books&amp;AN=01382745$&amp;XPATH=/PG(0)","http://ovidsp.ovid.com/ovidweb.cgi?T=JS&amp;NEWS=n&amp;CSC=Y&amp;PAGE=booktext&amp;D=books&amp;AN=01382745$&amp;XPATH=/PG(0)")</f>
        <v>http://ovidsp.ovid.com/ovidweb.cgi?T=JS&amp;NEWS=n&amp;CSC=Y&amp;PAGE=booktext&amp;D=books&amp;AN=01382745$&amp;XPATH=/PG(0)</v>
      </c>
      <c r="G792" s="2" t="s">
        <v>12</v>
      </c>
    </row>
    <row r="793" spans="1:7" x14ac:dyDescent="0.15">
      <c r="A793" s="2" t="s">
        <v>2394</v>
      </c>
      <c r="B793" s="2" t="s">
        <v>2395</v>
      </c>
      <c r="C793" s="2" t="s">
        <v>2396</v>
      </c>
      <c r="D793" s="2" t="s">
        <v>10</v>
      </c>
      <c r="E793" s="2" t="s">
        <v>45</v>
      </c>
      <c r="F793" s="3" t="str">
        <f>HYPERLINK("http://ovidsp.ovid.com/ovidweb.cgi?T=JS&amp;NEWS=n&amp;CSC=Y&amp;PAGE=booktext&amp;D=books&amp;AN=01382744$&amp;XPATH=/PG(0)","http://ovidsp.ovid.com/ovidweb.cgi?T=JS&amp;NEWS=n&amp;CSC=Y&amp;PAGE=booktext&amp;D=books&amp;AN=01382744$&amp;XPATH=/PG(0)")</f>
        <v>http://ovidsp.ovid.com/ovidweb.cgi?T=JS&amp;NEWS=n&amp;CSC=Y&amp;PAGE=booktext&amp;D=books&amp;AN=01382744$&amp;XPATH=/PG(0)</v>
      </c>
      <c r="G793" s="2" t="s">
        <v>12</v>
      </c>
    </row>
    <row r="794" spans="1:7" x14ac:dyDescent="0.15">
      <c r="A794" s="2" t="s">
        <v>2397</v>
      </c>
      <c r="B794" s="2" t="s">
        <v>2398</v>
      </c>
      <c r="C794" s="2" t="s">
        <v>2399</v>
      </c>
      <c r="D794" s="2" t="s">
        <v>10</v>
      </c>
      <c r="E794" s="2" t="s">
        <v>45</v>
      </c>
      <c r="F794" s="3" t="str">
        <f>HYPERLINK("http://ovidsp.ovid.com/ovidweb.cgi?T=JS&amp;NEWS=n&amp;CSC=Y&amp;PAGE=booktext&amp;D=books&amp;AN=01382746$&amp;XPATH=/PG(0)","http://ovidsp.ovid.com/ovidweb.cgi?T=JS&amp;NEWS=n&amp;CSC=Y&amp;PAGE=booktext&amp;D=books&amp;AN=01382746$&amp;XPATH=/PG(0)")</f>
        <v>http://ovidsp.ovid.com/ovidweb.cgi?T=JS&amp;NEWS=n&amp;CSC=Y&amp;PAGE=booktext&amp;D=books&amp;AN=01382746$&amp;XPATH=/PG(0)</v>
      </c>
      <c r="G794" s="2" t="s">
        <v>12</v>
      </c>
    </row>
    <row r="795" spans="1:7" x14ac:dyDescent="0.15">
      <c r="A795" s="2" t="s">
        <v>2400</v>
      </c>
      <c r="B795" s="2" t="s">
        <v>2401</v>
      </c>
      <c r="C795" s="2" t="s">
        <v>2402</v>
      </c>
      <c r="D795" s="2" t="s">
        <v>10</v>
      </c>
      <c r="E795" s="2" t="s">
        <v>16</v>
      </c>
      <c r="F795" s="3" t="str">
        <f>HYPERLINK("http://ovidsp.ovid.com/ovidweb.cgi?T=JS&amp;NEWS=n&amp;CSC=Y&amp;PAGE=booktext&amp;D=books&amp;AN=01382842$&amp;XPATH=/PG(0)","http://ovidsp.ovid.com/ovidweb.cgi?T=JS&amp;NEWS=n&amp;CSC=Y&amp;PAGE=booktext&amp;D=books&amp;AN=01382842$&amp;XPATH=/PG(0)")</f>
        <v>http://ovidsp.ovid.com/ovidweb.cgi?T=JS&amp;NEWS=n&amp;CSC=Y&amp;PAGE=booktext&amp;D=books&amp;AN=01382842$&amp;XPATH=/PG(0)</v>
      </c>
      <c r="G795" s="2" t="s">
        <v>12</v>
      </c>
    </row>
    <row r="796" spans="1:7" x14ac:dyDescent="0.15">
      <c r="A796" s="2" t="s">
        <v>2403</v>
      </c>
      <c r="B796" s="2" t="s">
        <v>2404</v>
      </c>
      <c r="C796" s="2" t="s">
        <v>2405</v>
      </c>
      <c r="D796" s="2" t="s">
        <v>10</v>
      </c>
      <c r="E796" s="2" t="s">
        <v>45</v>
      </c>
      <c r="F796" s="3" t="str">
        <f>HYPERLINK("http://ovidsp.ovid.com/ovidweb.cgi?T=JS&amp;NEWS=n&amp;CSC=Y&amp;PAGE=booktext&amp;D=books&amp;AN=01382747$&amp;XPATH=/PG(0)","http://ovidsp.ovid.com/ovidweb.cgi?T=JS&amp;NEWS=n&amp;CSC=Y&amp;PAGE=booktext&amp;D=books&amp;AN=01382747$&amp;XPATH=/PG(0)")</f>
        <v>http://ovidsp.ovid.com/ovidweb.cgi?T=JS&amp;NEWS=n&amp;CSC=Y&amp;PAGE=booktext&amp;D=books&amp;AN=01382747$&amp;XPATH=/PG(0)</v>
      </c>
      <c r="G796" s="2" t="s">
        <v>12</v>
      </c>
    </row>
    <row r="797" spans="1:7" x14ac:dyDescent="0.15">
      <c r="A797" s="2" t="s">
        <v>2406</v>
      </c>
      <c r="B797" s="2" t="s">
        <v>2407</v>
      </c>
      <c r="C797" s="2" t="s">
        <v>2408</v>
      </c>
      <c r="D797" s="2" t="s">
        <v>10</v>
      </c>
      <c r="E797" s="2" t="s">
        <v>16</v>
      </c>
      <c r="F797" s="3" t="str">
        <f>HYPERLINK("http://ovidsp.ovid.com/ovidweb.cgi?T=JS&amp;NEWS=n&amp;CSC=Y&amp;PAGE=booktext&amp;D=books&amp;AN=01382844$&amp;XPATH=/PG(0)","http://ovidsp.ovid.com/ovidweb.cgi?T=JS&amp;NEWS=n&amp;CSC=Y&amp;PAGE=booktext&amp;D=books&amp;AN=01382844$&amp;XPATH=/PG(0)")</f>
        <v>http://ovidsp.ovid.com/ovidweb.cgi?T=JS&amp;NEWS=n&amp;CSC=Y&amp;PAGE=booktext&amp;D=books&amp;AN=01382844$&amp;XPATH=/PG(0)</v>
      </c>
      <c r="G797" s="2" t="s">
        <v>12</v>
      </c>
    </row>
    <row r="798" spans="1:7" x14ac:dyDescent="0.15">
      <c r="A798" s="2" t="s">
        <v>2409</v>
      </c>
      <c r="B798" s="2" t="s">
        <v>2410</v>
      </c>
      <c r="C798" s="2" t="s">
        <v>2411</v>
      </c>
      <c r="D798" s="2" t="s">
        <v>10</v>
      </c>
      <c r="E798" s="2" t="s">
        <v>95</v>
      </c>
      <c r="F798" s="3" t="str">
        <f>HYPERLINK("http://ovidsp.ovid.com/ovidweb.cgi?T=JS&amp;NEWS=n&amp;CSC=Y&amp;PAGE=booktext&amp;D=books&amp;AN=01382497$&amp;XPATH=/PG(0)","http://ovidsp.ovid.com/ovidweb.cgi?T=JS&amp;NEWS=n&amp;CSC=Y&amp;PAGE=booktext&amp;D=books&amp;AN=01382497$&amp;XPATH=/PG(0)")</f>
        <v>http://ovidsp.ovid.com/ovidweb.cgi?T=JS&amp;NEWS=n&amp;CSC=Y&amp;PAGE=booktext&amp;D=books&amp;AN=01382497$&amp;XPATH=/PG(0)</v>
      </c>
      <c r="G798" s="2" t="s">
        <v>17</v>
      </c>
    </row>
    <row r="799" spans="1:7" x14ac:dyDescent="0.15">
      <c r="A799" s="2" t="s">
        <v>2412</v>
      </c>
      <c r="B799" s="2" t="s">
        <v>2413</v>
      </c>
      <c r="C799" s="2" t="s">
        <v>2414</v>
      </c>
      <c r="D799" s="2" t="s">
        <v>10</v>
      </c>
      <c r="E799" s="2" t="s">
        <v>16</v>
      </c>
      <c r="F799" s="3" t="str">
        <f>HYPERLINK("http://ovidsp.ovid.com/ovidweb.cgi?T=JS&amp;NEWS=n&amp;CSC=Y&amp;PAGE=booktext&amp;D=books&amp;AN=01382859$&amp;XPATH=/PG(0)","http://ovidsp.ovid.com/ovidweb.cgi?T=JS&amp;NEWS=n&amp;CSC=Y&amp;PAGE=booktext&amp;D=books&amp;AN=01382859$&amp;XPATH=/PG(0)")</f>
        <v>http://ovidsp.ovid.com/ovidweb.cgi?T=JS&amp;NEWS=n&amp;CSC=Y&amp;PAGE=booktext&amp;D=books&amp;AN=01382859$&amp;XPATH=/PG(0)</v>
      </c>
      <c r="G799" s="2" t="s">
        <v>12</v>
      </c>
    </row>
    <row r="800" spans="1:7" x14ac:dyDescent="0.15">
      <c r="A800" s="2" t="s">
        <v>2415</v>
      </c>
      <c r="B800" s="2" t="s">
        <v>2416</v>
      </c>
      <c r="C800" s="2" t="s">
        <v>2417</v>
      </c>
      <c r="D800" s="2" t="s">
        <v>10</v>
      </c>
      <c r="E800" s="2" t="s">
        <v>53</v>
      </c>
      <c r="F800" s="3" t="str">
        <f>HYPERLINK("http://ovidsp.ovid.com/ovidweb.cgi?T=JS&amp;NEWS=n&amp;CSC=Y&amp;PAGE=booktext&amp;D=books&amp;AN=01223040$&amp;XPATH=/PG(0)","http://ovidsp.ovid.com/ovidweb.cgi?T=JS&amp;NEWS=n&amp;CSC=Y&amp;PAGE=booktext&amp;D=books&amp;AN=01223040$&amp;XPATH=/PG(0)")</f>
        <v>http://ovidsp.ovid.com/ovidweb.cgi?T=JS&amp;NEWS=n&amp;CSC=Y&amp;PAGE=booktext&amp;D=books&amp;AN=01223040$&amp;XPATH=/PG(0)</v>
      </c>
      <c r="G800" s="2" t="s">
        <v>12</v>
      </c>
    </row>
    <row r="801" spans="1:7" x14ac:dyDescent="0.15">
      <c r="A801" s="2" t="s">
        <v>2418</v>
      </c>
      <c r="B801" s="2" t="s">
        <v>2419</v>
      </c>
      <c r="C801" s="2" t="s">
        <v>2420</v>
      </c>
      <c r="D801" s="2" t="s">
        <v>10</v>
      </c>
      <c r="E801" s="2" t="s">
        <v>49</v>
      </c>
      <c r="F801" s="3" t="str">
        <f>HYPERLINK("http://ovidsp.ovid.com/ovidweb.cgi?T=JS&amp;NEWS=n&amp;CSC=Y&amp;PAGE=booktext&amp;D=books&amp;AN=01223041$&amp;XPATH=/PG(0)","http://ovidsp.ovid.com/ovidweb.cgi?T=JS&amp;NEWS=n&amp;CSC=Y&amp;PAGE=booktext&amp;D=books&amp;AN=01223041$&amp;XPATH=/PG(0)")</f>
        <v>http://ovidsp.ovid.com/ovidweb.cgi?T=JS&amp;NEWS=n&amp;CSC=Y&amp;PAGE=booktext&amp;D=books&amp;AN=01223041$&amp;XPATH=/PG(0)</v>
      </c>
      <c r="G801" s="2" t="s">
        <v>17</v>
      </c>
    </row>
    <row r="802" spans="1:7" x14ac:dyDescent="0.15">
      <c r="A802" s="2" t="s">
        <v>2421</v>
      </c>
      <c r="B802" s="2" t="s">
        <v>2422</v>
      </c>
      <c r="C802" s="2" t="s">
        <v>2423</v>
      </c>
      <c r="D802" s="2" t="s">
        <v>10</v>
      </c>
      <c r="E802" s="2" t="s">
        <v>16</v>
      </c>
      <c r="F802" s="3" t="str">
        <f>HYPERLINK("http://ovidsp.ovid.com/ovidweb.cgi?T=JS&amp;NEWS=n&amp;CSC=Y&amp;PAGE=booktext&amp;D=books&amp;AN=01279720$&amp;XPATH=/PG(0)","http://ovidsp.ovid.com/ovidweb.cgi?T=JS&amp;NEWS=n&amp;CSC=Y&amp;PAGE=booktext&amp;D=books&amp;AN=01279720$&amp;XPATH=/PG(0)")</f>
        <v>http://ovidsp.ovid.com/ovidweb.cgi?T=JS&amp;NEWS=n&amp;CSC=Y&amp;PAGE=booktext&amp;D=books&amp;AN=01279720$&amp;XPATH=/PG(0)</v>
      </c>
      <c r="G802" s="2" t="s">
        <v>17</v>
      </c>
    </row>
    <row r="803" spans="1:7" x14ac:dyDescent="0.15">
      <c r="A803" s="2" t="s">
        <v>2424</v>
      </c>
      <c r="B803" s="2" t="s">
        <v>2425</v>
      </c>
      <c r="C803" s="2" t="s">
        <v>2426</v>
      </c>
      <c r="D803" s="2" t="s">
        <v>10</v>
      </c>
      <c r="E803" s="2" t="s">
        <v>45</v>
      </c>
      <c r="F803" s="3" t="str">
        <f>HYPERLINK("http://ovidsp.ovid.com/ovidweb.cgi?T=JS&amp;NEWS=n&amp;CSC=Y&amp;PAGE=booktext&amp;D=books&amp;AN=00140009$&amp;XPATH=/PG(0)","http://ovidsp.ovid.com/ovidweb.cgi?T=JS&amp;NEWS=n&amp;CSC=Y&amp;PAGE=booktext&amp;D=books&amp;AN=00140009$&amp;XPATH=/PG(0)")</f>
        <v>http://ovidsp.ovid.com/ovidweb.cgi?T=JS&amp;NEWS=n&amp;CSC=Y&amp;PAGE=booktext&amp;D=books&amp;AN=00140009$&amp;XPATH=/PG(0)</v>
      </c>
      <c r="G803" s="2" t="s">
        <v>17</v>
      </c>
    </row>
    <row r="804" spans="1:7" x14ac:dyDescent="0.15">
      <c r="A804" s="2" t="s">
        <v>2427</v>
      </c>
      <c r="B804" s="2" t="s">
        <v>2428</v>
      </c>
      <c r="C804" s="2" t="s">
        <v>2429</v>
      </c>
      <c r="D804" s="2" t="s">
        <v>10</v>
      </c>
      <c r="E804" s="2" t="s">
        <v>45</v>
      </c>
      <c r="F804" s="3" t="str">
        <f>HYPERLINK("http://ovidsp.ovid.com/ovidweb.cgi?T=JS&amp;NEWS=n&amp;CSC=Y&amp;PAGE=booktext&amp;D=books&amp;AN=01382684$&amp;XPATH=/PG(0)","http://ovidsp.ovid.com/ovidweb.cgi?T=JS&amp;NEWS=n&amp;CSC=Y&amp;PAGE=booktext&amp;D=books&amp;AN=01382684$&amp;XPATH=/PG(0)")</f>
        <v>http://ovidsp.ovid.com/ovidweb.cgi?T=JS&amp;NEWS=n&amp;CSC=Y&amp;PAGE=booktext&amp;D=books&amp;AN=01382684$&amp;XPATH=/PG(0)</v>
      </c>
      <c r="G804" s="2" t="s">
        <v>17</v>
      </c>
    </row>
    <row r="805" spans="1:7" x14ac:dyDescent="0.15">
      <c r="A805" s="2" t="s">
        <v>2430</v>
      </c>
      <c r="B805" s="2" t="s">
        <v>2431</v>
      </c>
      <c r="C805" s="2" t="s">
        <v>2432</v>
      </c>
      <c r="D805" s="2" t="s">
        <v>10</v>
      </c>
      <c r="E805" s="2" t="s">
        <v>45</v>
      </c>
      <c r="F805" s="3" t="str">
        <f>HYPERLINK("http://ovidsp.ovid.com/ovidweb.cgi?T=JS&amp;NEWS=n&amp;CSC=Y&amp;PAGE=booktext&amp;D=books&amp;AN=01382683$&amp;XPATH=/PG(0)","http://ovidsp.ovid.com/ovidweb.cgi?T=JS&amp;NEWS=n&amp;CSC=Y&amp;PAGE=booktext&amp;D=books&amp;AN=01382683$&amp;XPATH=/PG(0)")</f>
        <v>http://ovidsp.ovid.com/ovidweb.cgi?T=JS&amp;NEWS=n&amp;CSC=Y&amp;PAGE=booktext&amp;D=books&amp;AN=01382683$&amp;XPATH=/PG(0)</v>
      </c>
      <c r="G805" s="2" t="s">
        <v>17</v>
      </c>
    </row>
    <row r="806" spans="1:7" x14ac:dyDescent="0.15">
      <c r="A806" s="2" t="s">
        <v>2433</v>
      </c>
      <c r="B806" s="2" t="s">
        <v>2434</v>
      </c>
      <c r="C806" s="2" t="s">
        <v>2435</v>
      </c>
      <c r="D806" s="2" t="s">
        <v>10</v>
      </c>
      <c r="E806" s="2" t="s">
        <v>16</v>
      </c>
      <c r="F806" s="3" t="str">
        <f>HYPERLINK("http://ovidsp.ovid.com/ovidweb.cgi?T=JS&amp;NEWS=n&amp;CSC=Y&amp;PAGE=booktext&amp;D=books&amp;AN=01382716$&amp;XPATH=/PG(0)","http://ovidsp.ovid.com/ovidweb.cgi?T=JS&amp;NEWS=n&amp;CSC=Y&amp;PAGE=booktext&amp;D=books&amp;AN=01382716$&amp;XPATH=/PG(0)")</f>
        <v>http://ovidsp.ovid.com/ovidweb.cgi?T=JS&amp;NEWS=n&amp;CSC=Y&amp;PAGE=booktext&amp;D=books&amp;AN=01382716$&amp;XPATH=/PG(0)</v>
      </c>
      <c r="G806" s="2" t="s">
        <v>17</v>
      </c>
    </row>
    <row r="807" spans="1:7" x14ac:dyDescent="0.15">
      <c r="A807" s="2" t="s">
        <v>2436</v>
      </c>
      <c r="B807" s="2" t="s">
        <v>2437</v>
      </c>
      <c r="C807" s="2" t="s">
        <v>2438</v>
      </c>
      <c r="D807" s="2" t="s">
        <v>10</v>
      </c>
      <c r="E807" s="2" t="s">
        <v>45</v>
      </c>
      <c r="F807" s="3" t="str">
        <f>HYPERLINK("http://ovidsp.ovid.com/ovidweb.cgi?T=JS&amp;NEWS=n&amp;CSC=Y&amp;PAGE=booktext&amp;D=books&amp;AN=01382686$&amp;XPATH=/PG(0)","http://ovidsp.ovid.com/ovidweb.cgi?T=JS&amp;NEWS=n&amp;CSC=Y&amp;PAGE=booktext&amp;D=books&amp;AN=01382686$&amp;XPATH=/PG(0)")</f>
        <v>http://ovidsp.ovid.com/ovidweb.cgi?T=JS&amp;NEWS=n&amp;CSC=Y&amp;PAGE=booktext&amp;D=books&amp;AN=01382686$&amp;XPATH=/PG(0)</v>
      </c>
      <c r="G807" s="2" t="s">
        <v>17</v>
      </c>
    </row>
    <row r="808" spans="1:7" x14ac:dyDescent="0.15">
      <c r="A808" s="2" t="s">
        <v>2439</v>
      </c>
      <c r="B808" s="2" t="s">
        <v>2440</v>
      </c>
      <c r="C808" s="2" t="s">
        <v>2441</v>
      </c>
      <c r="D808" s="2" t="s">
        <v>10</v>
      </c>
      <c r="E808" s="2" t="s">
        <v>16</v>
      </c>
      <c r="F808" s="3" t="str">
        <f>HYPERLINK("http://ovidsp.ovid.com/ovidweb.cgi?T=JS&amp;NEWS=n&amp;CSC=Y&amp;PAGE=booktext&amp;D=books&amp;AN=01382685$&amp;XPATH=/PG(0)","http://ovidsp.ovid.com/ovidweb.cgi?T=JS&amp;NEWS=n&amp;CSC=Y&amp;PAGE=booktext&amp;D=books&amp;AN=01382685$&amp;XPATH=/PG(0)")</f>
        <v>http://ovidsp.ovid.com/ovidweb.cgi?T=JS&amp;NEWS=n&amp;CSC=Y&amp;PAGE=booktext&amp;D=books&amp;AN=01382685$&amp;XPATH=/PG(0)</v>
      </c>
      <c r="G808" s="2" t="s">
        <v>17</v>
      </c>
    </row>
    <row r="809" spans="1:7" x14ac:dyDescent="0.15">
      <c r="A809" s="2" t="s">
        <v>2442</v>
      </c>
      <c r="B809" s="2" t="s">
        <v>2443</v>
      </c>
      <c r="C809" s="2" t="s">
        <v>2444</v>
      </c>
      <c r="D809" s="2" t="s">
        <v>10</v>
      </c>
      <c r="E809" s="2" t="s">
        <v>45</v>
      </c>
      <c r="F809" s="3" t="str">
        <f>HYPERLINK("http://ovidsp.ovid.com/ovidweb.cgi?T=JS&amp;NEWS=n&amp;CSC=Y&amp;PAGE=booktext&amp;D=books&amp;AN=01382688$&amp;XPATH=/PG(0)","http://ovidsp.ovid.com/ovidweb.cgi?T=JS&amp;NEWS=n&amp;CSC=Y&amp;PAGE=booktext&amp;D=books&amp;AN=01382688$&amp;XPATH=/PG(0)")</f>
        <v>http://ovidsp.ovid.com/ovidweb.cgi?T=JS&amp;NEWS=n&amp;CSC=Y&amp;PAGE=booktext&amp;D=books&amp;AN=01382688$&amp;XPATH=/PG(0)</v>
      </c>
      <c r="G809" s="2" t="s">
        <v>17</v>
      </c>
    </row>
    <row r="810" spans="1:7" x14ac:dyDescent="0.15">
      <c r="A810" s="2" t="s">
        <v>2445</v>
      </c>
      <c r="B810" s="2" t="s">
        <v>2446</v>
      </c>
      <c r="C810" s="2" t="s">
        <v>2447</v>
      </c>
      <c r="D810" s="2" t="s">
        <v>10</v>
      </c>
      <c r="E810" s="2" t="s">
        <v>95</v>
      </c>
      <c r="F810" s="3" t="str">
        <f>HYPERLINK("http://ovidsp.ovid.com/ovidweb.cgi?T=JS&amp;NEWS=n&amp;CSC=Y&amp;PAGE=booktext&amp;D=books&amp;AN=01382689$&amp;XPATH=/PG(0)","http://ovidsp.ovid.com/ovidweb.cgi?T=JS&amp;NEWS=n&amp;CSC=Y&amp;PAGE=booktext&amp;D=books&amp;AN=01382689$&amp;XPATH=/PG(0)")</f>
        <v>http://ovidsp.ovid.com/ovidweb.cgi?T=JS&amp;NEWS=n&amp;CSC=Y&amp;PAGE=booktext&amp;D=books&amp;AN=01382689$&amp;XPATH=/PG(0)</v>
      </c>
      <c r="G810" s="2" t="s">
        <v>17</v>
      </c>
    </row>
    <row r="811" spans="1:7" x14ac:dyDescent="0.15">
      <c r="A811" s="2" t="s">
        <v>2448</v>
      </c>
      <c r="B811" s="2" t="s">
        <v>2449</v>
      </c>
      <c r="C811" s="2" t="s">
        <v>2450</v>
      </c>
      <c r="D811" s="2" t="s">
        <v>10</v>
      </c>
      <c r="E811" s="2" t="s">
        <v>16</v>
      </c>
      <c r="F811" s="3" t="str">
        <f>HYPERLINK("http://ovidsp.ovid.com/ovidweb.cgi?T=JS&amp;NEWS=n&amp;CSC=Y&amp;PAGE=booktext&amp;D=books&amp;AN=01376507$&amp;XPATH=/PG(0)","http://ovidsp.ovid.com/ovidweb.cgi?T=JS&amp;NEWS=n&amp;CSC=Y&amp;PAGE=booktext&amp;D=books&amp;AN=01376507$&amp;XPATH=/PG(0)")</f>
        <v>http://ovidsp.ovid.com/ovidweb.cgi?T=JS&amp;NEWS=n&amp;CSC=Y&amp;PAGE=booktext&amp;D=books&amp;AN=01376507$&amp;XPATH=/PG(0)</v>
      </c>
      <c r="G811" s="2" t="s">
        <v>12</v>
      </c>
    </row>
    <row r="812" spans="1:7" x14ac:dyDescent="0.15">
      <c r="A812" s="2" t="s">
        <v>2451</v>
      </c>
      <c r="B812" s="2" t="s">
        <v>2452</v>
      </c>
      <c r="C812" s="2" t="s">
        <v>2453</v>
      </c>
      <c r="D812" s="2" t="s">
        <v>10</v>
      </c>
      <c r="E812" s="2" t="s">
        <v>95</v>
      </c>
      <c r="F812" s="3" t="str">
        <f>HYPERLINK("http://ovidsp.ovid.com/ovidweb.cgi?T=JS&amp;NEWS=n&amp;CSC=Y&amp;PAGE=booktext&amp;D=books&amp;AN=01223043$&amp;XPATH=/PG(0)","http://ovidsp.ovid.com/ovidweb.cgi?T=JS&amp;NEWS=n&amp;CSC=Y&amp;PAGE=booktext&amp;D=books&amp;AN=01223043$&amp;XPATH=/PG(0)")</f>
        <v>http://ovidsp.ovid.com/ovidweb.cgi?T=JS&amp;NEWS=n&amp;CSC=Y&amp;PAGE=booktext&amp;D=books&amp;AN=01223043$&amp;XPATH=/PG(0)</v>
      </c>
      <c r="G812" s="2" t="s">
        <v>17</v>
      </c>
    </row>
    <row r="813" spans="1:7" x14ac:dyDescent="0.15">
      <c r="A813" s="2" t="s">
        <v>2454</v>
      </c>
      <c r="B813" s="2" t="s">
        <v>2455</v>
      </c>
      <c r="C813" s="2" t="s">
        <v>2456</v>
      </c>
      <c r="D813" s="2" t="s">
        <v>10</v>
      </c>
      <c r="E813" s="2" t="s">
        <v>45</v>
      </c>
      <c r="F813" s="3" t="str">
        <f>HYPERLINK("http://ovidsp.ovid.com/ovidweb.cgi?T=JS&amp;NEWS=n&amp;CSC=Y&amp;PAGE=booktext&amp;D=books&amp;AN=01382701$&amp;XPATH=/PG(0)","http://ovidsp.ovid.com/ovidweb.cgi?T=JS&amp;NEWS=n&amp;CSC=Y&amp;PAGE=booktext&amp;D=books&amp;AN=01382701$&amp;XPATH=/PG(0)")</f>
        <v>http://ovidsp.ovid.com/ovidweb.cgi?T=JS&amp;NEWS=n&amp;CSC=Y&amp;PAGE=booktext&amp;D=books&amp;AN=01382701$&amp;XPATH=/PG(0)</v>
      </c>
      <c r="G813" s="2" t="s">
        <v>17</v>
      </c>
    </row>
    <row r="814" spans="1:7" x14ac:dyDescent="0.15">
      <c r="A814" s="2" t="s">
        <v>2457</v>
      </c>
      <c r="B814" s="2" t="s">
        <v>2458</v>
      </c>
      <c r="C814" s="2" t="s">
        <v>2459</v>
      </c>
      <c r="D814" s="2" t="s">
        <v>10</v>
      </c>
      <c r="E814" s="2" t="s">
        <v>16</v>
      </c>
      <c r="F814" s="3" t="str">
        <f>HYPERLINK("http://ovidsp.ovid.com/ovidweb.cgi?T=JS&amp;NEWS=n&amp;CSC=Y&amp;PAGE=booktext&amp;D=books&amp;AN=01257036$&amp;XPATH=/PG(0)","http://ovidsp.ovid.com/ovidweb.cgi?T=JS&amp;NEWS=n&amp;CSC=Y&amp;PAGE=booktext&amp;D=books&amp;AN=01257036$&amp;XPATH=/PG(0)")</f>
        <v>http://ovidsp.ovid.com/ovidweb.cgi?T=JS&amp;NEWS=n&amp;CSC=Y&amp;PAGE=booktext&amp;D=books&amp;AN=01257036$&amp;XPATH=/PG(0)</v>
      </c>
      <c r="G814" s="2" t="s">
        <v>17</v>
      </c>
    </row>
    <row r="815" spans="1:7" x14ac:dyDescent="0.15">
      <c r="A815" s="2" t="s">
        <v>2460</v>
      </c>
      <c r="B815" s="2" t="s">
        <v>2461</v>
      </c>
      <c r="C815" s="2" t="s">
        <v>2462</v>
      </c>
      <c r="D815" s="2" t="s">
        <v>10</v>
      </c>
      <c r="E815" s="2" t="s">
        <v>16</v>
      </c>
      <c r="F815" s="3" t="str">
        <f>HYPERLINK("http://ovidsp.ovid.com/ovidweb.cgi?T=JS&amp;NEWS=n&amp;CSC=Y&amp;PAGE=booktext&amp;D=books&amp;AN=01382690$&amp;XPATH=/PG(0)","http://ovidsp.ovid.com/ovidweb.cgi?T=JS&amp;NEWS=n&amp;CSC=Y&amp;PAGE=booktext&amp;D=books&amp;AN=01382690$&amp;XPATH=/PG(0)")</f>
        <v>http://ovidsp.ovid.com/ovidweb.cgi?T=JS&amp;NEWS=n&amp;CSC=Y&amp;PAGE=booktext&amp;D=books&amp;AN=01382690$&amp;XPATH=/PG(0)</v>
      </c>
      <c r="G815" s="2" t="s">
        <v>17</v>
      </c>
    </row>
    <row r="816" spans="1:7" x14ac:dyDescent="0.15">
      <c r="A816" s="2" t="s">
        <v>2463</v>
      </c>
      <c r="B816" s="2" t="s">
        <v>2464</v>
      </c>
      <c r="C816" s="2" t="s">
        <v>2465</v>
      </c>
      <c r="D816" s="2" t="s">
        <v>10</v>
      </c>
      <c r="E816" s="2" t="s">
        <v>45</v>
      </c>
      <c r="F816" s="3" t="str">
        <f>HYPERLINK("http://ovidsp.ovid.com/ovidweb.cgi?T=JS&amp;NEWS=n&amp;CSC=Y&amp;PAGE=booktext&amp;D=books&amp;AN=01279765$&amp;XPATH=/PG(0)","http://ovidsp.ovid.com/ovidweb.cgi?T=JS&amp;NEWS=n&amp;CSC=Y&amp;PAGE=booktext&amp;D=books&amp;AN=01279765$&amp;XPATH=/PG(0)")</f>
        <v>http://ovidsp.ovid.com/ovidweb.cgi?T=JS&amp;NEWS=n&amp;CSC=Y&amp;PAGE=booktext&amp;D=books&amp;AN=01279765$&amp;XPATH=/PG(0)</v>
      </c>
      <c r="G816" s="2" t="s">
        <v>17</v>
      </c>
    </row>
    <row r="817" spans="1:7" x14ac:dyDescent="0.15">
      <c r="A817" s="2" t="s">
        <v>2466</v>
      </c>
      <c r="B817" s="2" t="s">
        <v>2467</v>
      </c>
      <c r="C817" s="2" t="s">
        <v>2468</v>
      </c>
      <c r="D817" s="2" t="s">
        <v>10</v>
      </c>
      <c r="E817" s="2" t="s">
        <v>95</v>
      </c>
      <c r="F817" s="3" t="str">
        <f>HYPERLINK("http://ovidsp.ovid.com/ovidweb.cgi?T=JS&amp;NEWS=n&amp;CSC=Y&amp;PAGE=booktext&amp;D=books&amp;AN=01382691$&amp;XPATH=/PG(0)","http://ovidsp.ovid.com/ovidweb.cgi?T=JS&amp;NEWS=n&amp;CSC=Y&amp;PAGE=booktext&amp;D=books&amp;AN=01382691$&amp;XPATH=/PG(0)")</f>
        <v>http://ovidsp.ovid.com/ovidweb.cgi?T=JS&amp;NEWS=n&amp;CSC=Y&amp;PAGE=booktext&amp;D=books&amp;AN=01382691$&amp;XPATH=/PG(0)</v>
      </c>
      <c r="G817" s="2" t="s">
        <v>17</v>
      </c>
    </row>
    <row r="818" spans="1:7" x14ac:dyDescent="0.15">
      <c r="A818" s="2" t="s">
        <v>2469</v>
      </c>
      <c r="B818" s="2" t="s">
        <v>2470</v>
      </c>
      <c r="C818" s="2" t="s">
        <v>2471</v>
      </c>
      <c r="D818" s="2" t="s">
        <v>10</v>
      </c>
      <c r="E818" s="2" t="s">
        <v>606</v>
      </c>
      <c r="F818" s="3" t="str">
        <f>HYPERLINK("http://ovidsp.ovid.com/ovidweb.cgi?T=JS&amp;NEWS=n&amp;CSC=Y&amp;PAGE=booktext&amp;D=books&amp;AN=01337653$&amp;XPATH=/PG(0)","http://ovidsp.ovid.com/ovidweb.cgi?T=JS&amp;NEWS=n&amp;CSC=Y&amp;PAGE=booktext&amp;D=books&amp;AN=01337653$&amp;XPATH=/PG(0)")</f>
        <v>http://ovidsp.ovid.com/ovidweb.cgi?T=JS&amp;NEWS=n&amp;CSC=Y&amp;PAGE=booktext&amp;D=books&amp;AN=01337653$&amp;XPATH=/PG(0)</v>
      </c>
      <c r="G818" s="2" t="s">
        <v>17</v>
      </c>
    </row>
    <row r="819" spans="1:7" x14ac:dyDescent="0.15">
      <c r="A819" s="2" t="s">
        <v>2469</v>
      </c>
      <c r="B819" s="2" t="s">
        <v>2472</v>
      </c>
      <c r="C819" s="2" t="s">
        <v>2473</v>
      </c>
      <c r="D819" s="2" t="s">
        <v>10</v>
      </c>
      <c r="E819" s="2" t="s">
        <v>1241</v>
      </c>
      <c r="F819" s="3" t="str">
        <f>HYPERLINK("http://ovidsp.ovid.com/ovidweb.cgi?T=JS&amp;NEWS=n&amp;CSC=Y&amp;PAGE=booktext&amp;D=books&amp;AN=00149841$&amp;XPATH=/PG(0)","http://ovidsp.ovid.com/ovidweb.cgi?T=JS&amp;NEWS=n&amp;CSC=Y&amp;PAGE=booktext&amp;D=books&amp;AN=00149841$&amp;XPATH=/PG(0)")</f>
        <v>http://ovidsp.ovid.com/ovidweb.cgi?T=JS&amp;NEWS=n&amp;CSC=Y&amp;PAGE=booktext&amp;D=books&amp;AN=00149841$&amp;XPATH=/PG(0)</v>
      </c>
      <c r="G819" s="2" t="s">
        <v>12</v>
      </c>
    </row>
    <row r="820" spans="1:7" x14ac:dyDescent="0.15">
      <c r="A820" s="2" t="s">
        <v>2474</v>
      </c>
      <c r="B820" s="2" t="s">
        <v>2475</v>
      </c>
      <c r="C820" s="2" t="s">
        <v>2476</v>
      </c>
      <c r="D820" s="2" t="s">
        <v>10</v>
      </c>
      <c r="E820" s="2" t="s">
        <v>16</v>
      </c>
      <c r="F820" s="3" t="str">
        <f>HYPERLINK("http://ovidsp.ovid.com/ovidweb.cgi?T=JS&amp;NEWS=n&amp;CSC=Y&amp;PAGE=booktext&amp;D=books&amp;AN=01382693$&amp;XPATH=/PG(0)","http://ovidsp.ovid.com/ovidweb.cgi?T=JS&amp;NEWS=n&amp;CSC=Y&amp;PAGE=booktext&amp;D=books&amp;AN=01382693$&amp;XPATH=/PG(0)")</f>
        <v>http://ovidsp.ovid.com/ovidweb.cgi?T=JS&amp;NEWS=n&amp;CSC=Y&amp;PAGE=booktext&amp;D=books&amp;AN=01382693$&amp;XPATH=/PG(0)</v>
      </c>
      <c r="G820" s="2" t="s">
        <v>17</v>
      </c>
    </row>
    <row r="821" spans="1:7" x14ac:dyDescent="0.15">
      <c r="A821" s="2" t="s">
        <v>2477</v>
      </c>
      <c r="B821" s="2" t="s">
        <v>2478</v>
      </c>
      <c r="C821" s="2" t="s">
        <v>2479</v>
      </c>
      <c r="D821" s="2" t="s">
        <v>10</v>
      </c>
      <c r="E821" s="2" t="s">
        <v>16</v>
      </c>
      <c r="F821" s="3" t="str">
        <f>HYPERLINK("http://ovidsp.ovid.com/ovidweb.cgi?T=JS&amp;NEWS=n&amp;CSC=Y&amp;PAGE=booktext&amp;D=books&amp;AN=01382503$&amp;XPATH=/PG(0)","http://ovidsp.ovid.com/ovidweb.cgi?T=JS&amp;NEWS=n&amp;CSC=Y&amp;PAGE=booktext&amp;D=books&amp;AN=01382503$&amp;XPATH=/PG(0)")</f>
        <v>http://ovidsp.ovid.com/ovidweb.cgi?T=JS&amp;NEWS=n&amp;CSC=Y&amp;PAGE=booktext&amp;D=books&amp;AN=01382503$&amp;XPATH=/PG(0)</v>
      </c>
      <c r="G821" s="2" t="s">
        <v>12</v>
      </c>
    </row>
    <row r="822" spans="1:7" x14ac:dyDescent="0.15">
      <c r="A822" s="2" t="s">
        <v>2480</v>
      </c>
      <c r="B822" s="2" t="s">
        <v>2481</v>
      </c>
      <c r="C822" s="2" t="s">
        <v>2482</v>
      </c>
      <c r="D822" s="2" t="s">
        <v>10</v>
      </c>
      <c r="E822" s="2" t="s">
        <v>95</v>
      </c>
      <c r="F822" s="3" t="str">
        <f>HYPERLINK("http://ovidsp.ovid.com/ovidweb.cgi?T=JS&amp;NEWS=n&amp;CSC=Y&amp;PAGE=booktext&amp;D=books&amp;AN=01382783$&amp;XPATH=/PG(0)","http://ovidsp.ovid.com/ovidweb.cgi?T=JS&amp;NEWS=n&amp;CSC=Y&amp;PAGE=booktext&amp;D=books&amp;AN=01382783$&amp;XPATH=/PG(0)")</f>
        <v>http://ovidsp.ovid.com/ovidweb.cgi?T=JS&amp;NEWS=n&amp;CSC=Y&amp;PAGE=booktext&amp;D=books&amp;AN=01382783$&amp;XPATH=/PG(0)</v>
      </c>
      <c r="G822" s="2" t="s">
        <v>12</v>
      </c>
    </row>
    <row r="823" spans="1:7" x14ac:dyDescent="0.15">
      <c r="A823" s="2" t="s">
        <v>2483</v>
      </c>
      <c r="B823" s="2" t="s">
        <v>2484</v>
      </c>
      <c r="C823" s="2" t="s">
        <v>2485</v>
      </c>
      <c r="D823" s="2" t="s">
        <v>10</v>
      </c>
      <c r="E823" s="2" t="s">
        <v>16</v>
      </c>
      <c r="F823" s="3" t="str">
        <f>HYPERLINK("http://ovidsp.ovid.com/ovidweb.cgi?T=JS&amp;NEWS=n&amp;CSC=Y&amp;PAGE=booktext&amp;D=books&amp;AN=01266019$&amp;XPATH=/PG(0)","http://ovidsp.ovid.com/ovidweb.cgi?T=JS&amp;NEWS=n&amp;CSC=Y&amp;PAGE=booktext&amp;D=books&amp;AN=01266019$&amp;XPATH=/PG(0)")</f>
        <v>http://ovidsp.ovid.com/ovidweb.cgi?T=JS&amp;NEWS=n&amp;CSC=Y&amp;PAGE=booktext&amp;D=books&amp;AN=01266019$&amp;XPATH=/PG(0)</v>
      </c>
      <c r="G823" s="2" t="s">
        <v>17</v>
      </c>
    </row>
    <row r="824" spans="1:7" x14ac:dyDescent="0.15">
      <c r="A824" s="2" t="s">
        <v>2486</v>
      </c>
      <c r="B824" s="2" t="s">
        <v>2487</v>
      </c>
      <c r="C824" s="2" t="s">
        <v>2488</v>
      </c>
      <c r="D824" s="2" t="s">
        <v>10</v>
      </c>
      <c r="E824" s="2" t="s">
        <v>95</v>
      </c>
      <c r="F824" s="3" t="str">
        <f>HYPERLINK("http://ovidsp.ovid.com/ovidweb.cgi?T=JS&amp;NEWS=n&amp;CSC=Y&amp;PAGE=booktext&amp;D=books&amp;AN=00140011$&amp;XPATH=/PG(0)","http://ovidsp.ovid.com/ovidweb.cgi?T=JS&amp;NEWS=n&amp;CSC=Y&amp;PAGE=booktext&amp;D=books&amp;AN=00140011$&amp;XPATH=/PG(0)")</f>
        <v>http://ovidsp.ovid.com/ovidweb.cgi?T=JS&amp;NEWS=n&amp;CSC=Y&amp;PAGE=booktext&amp;D=books&amp;AN=00140011$&amp;XPATH=/PG(0)</v>
      </c>
      <c r="G824" s="2" t="s">
        <v>17</v>
      </c>
    </row>
    <row r="825" spans="1:7" x14ac:dyDescent="0.15">
      <c r="A825" s="2" t="s">
        <v>2489</v>
      </c>
      <c r="B825" s="2" t="s">
        <v>2490</v>
      </c>
      <c r="C825" s="2" t="s">
        <v>2491</v>
      </c>
      <c r="D825" s="2" t="s">
        <v>10</v>
      </c>
      <c r="E825" s="2" t="s">
        <v>16</v>
      </c>
      <c r="F825" s="3" t="str">
        <f>HYPERLINK("http://ovidsp.ovid.com/ovidweb.cgi?T=JS&amp;NEWS=n&amp;CSC=Y&amp;PAGE=booktext&amp;D=books&amp;AN=01394382$&amp;XPATH=/PG(0)","http://ovidsp.ovid.com/ovidweb.cgi?T=JS&amp;NEWS=n&amp;CSC=Y&amp;PAGE=booktext&amp;D=books&amp;AN=01394382$&amp;XPATH=/PG(0)")</f>
        <v>http://ovidsp.ovid.com/ovidweb.cgi?T=JS&amp;NEWS=n&amp;CSC=Y&amp;PAGE=booktext&amp;D=books&amp;AN=01394382$&amp;XPATH=/PG(0)</v>
      </c>
      <c r="G825" s="2" t="s">
        <v>17</v>
      </c>
    </row>
    <row r="826" spans="1:7" x14ac:dyDescent="0.15">
      <c r="A826" s="2" t="s">
        <v>2492</v>
      </c>
      <c r="B826" s="2" t="s">
        <v>2493</v>
      </c>
      <c r="C826" s="2" t="s">
        <v>2494</v>
      </c>
      <c r="D826" s="2" t="s">
        <v>10</v>
      </c>
      <c r="E826" s="2" t="s">
        <v>16</v>
      </c>
      <c r="F826" s="3" t="str">
        <f>HYPERLINK("http://ovidsp.ovid.com/ovidweb.cgi?T=JS&amp;NEWS=n&amp;CSC=Y&amp;PAGE=booktext&amp;D=books&amp;AN=01382851$&amp;XPATH=/PG(0)","http://ovidsp.ovid.com/ovidweb.cgi?T=JS&amp;NEWS=n&amp;CSC=Y&amp;PAGE=booktext&amp;D=books&amp;AN=01382851$&amp;XPATH=/PG(0)")</f>
        <v>http://ovidsp.ovid.com/ovidweb.cgi?T=JS&amp;NEWS=n&amp;CSC=Y&amp;PAGE=booktext&amp;D=books&amp;AN=01382851$&amp;XPATH=/PG(0)</v>
      </c>
      <c r="G826" s="2" t="s">
        <v>17</v>
      </c>
    </row>
    <row r="827" spans="1:7" x14ac:dyDescent="0.15">
      <c r="A827" s="2" t="s">
        <v>2495</v>
      </c>
      <c r="B827" s="2" t="s">
        <v>2496</v>
      </c>
      <c r="C827" s="2" t="s">
        <v>2497</v>
      </c>
      <c r="D827" s="2" t="s">
        <v>10</v>
      </c>
      <c r="E827" s="2" t="s">
        <v>16</v>
      </c>
      <c r="F827" s="3" t="str">
        <f>HYPERLINK("http://ovidsp.ovid.com/ovidweb.cgi?T=JS&amp;NEWS=n&amp;CSC=Y&amp;PAGE=booktext&amp;D=books&amp;AN=01382704$&amp;XPATH=/PG(0)","http://ovidsp.ovid.com/ovidweb.cgi?T=JS&amp;NEWS=n&amp;CSC=Y&amp;PAGE=booktext&amp;D=books&amp;AN=01382704$&amp;XPATH=/PG(0)")</f>
        <v>http://ovidsp.ovid.com/ovidweb.cgi?T=JS&amp;NEWS=n&amp;CSC=Y&amp;PAGE=booktext&amp;D=books&amp;AN=01382704$&amp;XPATH=/PG(0)</v>
      </c>
      <c r="G827" s="2" t="s">
        <v>17</v>
      </c>
    </row>
    <row r="828" spans="1:7" x14ac:dyDescent="0.15">
      <c r="A828" s="2" t="s">
        <v>2498</v>
      </c>
      <c r="B828" s="2" t="s">
        <v>2499</v>
      </c>
      <c r="C828" s="2" t="s">
        <v>2500</v>
      </c>
      <c r="D828" s="2" t="s">
        <v>10</v>
      </c>
      <c r="E828" s="2" t="s">
        <v>16</v>
      </c>
      <c r="F828" s="3" t="str">
        <f>HYPERLINK("http://ovidsp.ovid.com/ovidweb.cgi?T=JS&amp;NEWS=n&amp;CSC=Y&amp;PAGE=booktext&amp;D=books&amp;AN=01257044$&amp;XPATH=/PG(0)","http://ovidsp.ovid.com/ovidweb.cgi?T=JS&amp;NEWS=n&amp;CSC=Y&amp;PAGE=booktext&amp;D=books&amp;AN=01257044$&amp;XPATH=/PG(0)")</f>
        <v>http://ovidsp.ovid.com/ovidweb.cgi?T=JS&amp;NEWS=n&amp;CSC=Y&amp;PAGE=booktext&amp;D=books&amp;AN=01257044$&amp;XPATH=/PG(0)</v>
      </c>
      <c r="G828" s="2" t="s">
        <v>17</v>
      </c>
    </row>
    <row r="829" spans="1:7" x14ac:dyDescent="0.15">
      <c r="A829" s="2" t="s">
        <v>2501</v>
      </c>
      <c r="B829" s="2" t="s">
        <v>2502</v>
      </c>
      <c r="C829" s="2" t="s">
        <v>2503</v>
      </c>
      <c r="D829" s="2" t="s">
        <v>10</v>
      </c>
      <c r="E829" s="2" t="s">
        <v>16</v>
      </c>
      <c r="F829" s="3" t="str">
        <f>HYPERLINK("http://ovidsp.ovid.com/ovidweb.cgi?T=JS&amp;NEWS=n&amp;CSC=Y&amp;PAGE=booktext&amp;D=books&amp;AN=01337351$&amp;XPATH=/PG(0)","http://ovidsp.ovid.com/ovidweb.cgi?T=JS&amp;NEWS=n&amp;CSC=Y&amp;PAGE=booktext&amp;D=books&amp;AN=01337351$&amp;XPATH=/PG(0)")</f>
        <v>http://ovidsp.ovid.com/ovidweb.cgi?T=JS&amp;NEWS=n&amp;CSC=Y&amp;PAGE=booktext&amp;D=books&amp;AN=01337351$&amp;XPATH=/PG(0)</v>
      </c>
      <c r="G829" s="2" t="s">
        <v>17</v>
      </c>
    </row>
    <row r="830" spans="1:7" x14ac:dyDescent="0.15">
      <c r="A830" s="2" t="s">
        <v>2504</v>
      </c>
      <c r="B830" s="2" t="s">
        <v>2505</v>
      </c>
      <c r="C830" s="2" t="s">
        <v>2506</v>
      </c>
      <c r="D830" s="2" t="s">
        <v>10</v>
      </c>
      <c r="E830" s="2" t="s">
        <v>16</v>
      </c>
      <c r="F830" s="3" t="str">
        <f>HYPERLINK("http://ovidsp.ovid.com/ovidweb.cgi?T=JS&amp;NEWS=n&amp;CSC=Y&amp;PAGE=booktext&amp;D=books&amp;AN=01382534$&amp;XPATH=/PG(0)","http://ovidsp.ovid.com/ovidweb.cgi?T=JS&amp;NEWS=n&amp;CSC=Y&amp;PAGE=booktext&amp;D=books&amp;AN=01382534$&amp;XPATH=/PG(0)")</f>
        <v>http://ovidsp.ovid.com/ovidweb.cgi?T=JS&amp;NEWS=n&amp;CSC=Y&amp;PAGE=booktext&amp;D=books&amp;AN=01382534$&amp;XPATH=/PG(0)</v>
      </c>
      <c r="G830" s="2" t="s">
        <v>17</v>
      </c>
    </row>
    <row r="831" spans="1:7" x14ac:dyDescent="0.15">
      <c r="A831" s="2" t="s">
        <v>2507</v>
      </c>
      <c r="B831" s="2" t="s">
        <v>2508</v>
      </c>
      <c r="C831" s="2" t="s">
        <v>2509</v>
      </c>
      <c r="D831" s="2" t="s">
        <v>10</v>
      </c>
      <c r="E831" s="2" t="s">
        <v>16</v>
      </c>
      <c r="F831" s="3" t="str">
        <f>HYPERLINK("http://ovidsp.ovid.com/ovidweb.cgi?T=JS&amp;NEWS=n&amp;CSC=Y&amp;PAGE=booktext&amp;D=books&amp;AN=01382707$&amp;XPATH=/PG(0)","http://ovidsp.ovid.com/ovidweb.cgi?T=JS&amp;NEWS=n&amp;CSC=Y&amp;PAGE=booktext&amp;D=books&amp;AN=01382707$&amp;XPATH=/PG(0)")</f>
        <v>http://ovidsp.ovid.com/ovidweb.cgi?T=JS&amp;NEWS=n&amp;CSC=Y&amp;PAGE=booktext&amp;D=books&amp;AN=01382707$&amp;XPATH=/PG(0)</v>
      </c>
      <c r="G831" s="2" t="s">
        <v>17</v>
      </c>
    </row>
    <row r="832" spans="1:7" x14ac:dyDescent="0.15">
      <c r="A832" s="2" t="s">
        <v>2510</v>
      </c>
      <c r="B832" s="2" t="s">
        <v>2511</v>
      </c>
      <c r="C832" s="2" t="s">
        <v>2512</v>
      </c>
      <c r="D832" s="2" t="s">
        <v>10</v>
      </c>
      <c r="E832" s="2" t="s">
        <v>45</v>
      </c>
      <c r="F832" s="3" t="str">
        <f>HYPERLINK("http://ovidsp.ovid.com/ovidweb.cgi?T=JS&amp;NEWS=n&amp;CSC=Y&amp;PAGE=booktext&amp;D=books&amp;AN=00140015$&amp;XPATH=/PG(0)","http://ovidsp.ovid.com/ovidweb.cgi?T=JS&amp;NEWS=n&amp;CSC=Y&amp;PAGE=booktext&amp;D=books&amp;AN=00140015$&amp;XPATH=/PG(0)")</f>
        <v>http://ovidsp.ovid.com/ovidweb.cgi?T=JS&amp;NEWS=n&amp;CSC=Y&amp;PAGE=booktext&amp;D=books&amp;AN=00140015$&amp;XPATH=/PG(0)</v>
      </c>
      <c r="G832" s="2" t="s">
        <v>12</v>
      </c>
    </row>
    <row r="833" spans="1:7" x14ac:dyDescent="0.15">
      <c r="A833" s="2" t="s">
        <v>2513</v>
      </c>
      <c r="B833" s="2" t="s">
        <v>2514</v>
      </c>
      <c r="C833" s="2" t="s">
        <v>2515</v>
      </c>
      <c r="D833" s="2" t="s">
        <v>10</v>
      </c>
      <c r="E833" s="2" t="s">
        <v>95</v>
      </c>
      <c r="F833" s="3" t="str">
        <f>HYPERLINK("http://ovidsp.ovid.com/ovidweb.cgi?T=JS&amp;NEWS=n&amp;CSC=Y&amp;PAGE=booktext&amp;D=books&amp;AN=01337214$&amp;XPATH=/PG(0)","http://ovidsp.ovid.com/ovidweb.cgi?T=JS&amp;NEWS=n&amp;CSC=Y&amp;PAGE=booktext&amp;D=books&amp;AN=01337214$&amp;XPATH=/PG(0)")</f>
        <v>http://ovidsp.ovid.com/ovidweb.cgi?T=JS&amp;NEWS=n&amp;CSC=Y&amp;PAGE=booktext&amp;D=books&amp;AN=01337214$&amp;XPATH=/PG(0)</v>
      </c>
      <c r="G833" s="2" t="s">
        <v>17</v>
      </c>
    </row>
    <row r="834" spans="1:7" x14ac:dyDescent="0.15">
      <c r="A834" s="2" t="s">
        <v>2516</v>
      </c>
      <c r="B834" s="2" t="s">
        <v>2517</v>
      </c>
      <c r="C834" s="2" t="s">
        <v>2518</v>
      </c>
      <c r="D834" s="2" t="s">
        <v>10</v>
      </c>
      <c r="E834" s="2" t="s">
        <v>16</v>
      </c>
      <c r="F834" s="3" t="str">
        <f>HYPERLINK("http://ovidsp.ovid.com/ovidweb.cgi?T=JS&amp;NEWS=n&amp;CSC=Y&amp;PAGE=booktext&amp;D=books&amp;AN=01382708$&amp;XPATH=/PG(0)","http://ovidsp.ovid.com/ovidweb.cgi?T=JS&amp;NEWS=n&amp;CSC=Y&amp;PAGE=booktext&amp;D=books&amp;AN=01382708$&amp;XPATH=/PG(0)")</f>
        <v>http://ovidsp.ovid.com/ovidweb.cgi?T=JS&amp;NEWS=n&amp;CSC=Y&amp;PAGE=booktext&amp;D=books&amp;AN=01382708$&amp;XPATH=/PG(0)</v>
      </c>
      <c r="G834" s="2" t="s">
        <v>17</v>
      </c>
    </row>
    <row r="835" spans="1:7" x14ac:dyDescent="0.15">
      <c r="A835" s="2" t="s">
        <v>2519</v>
      </c>
      <c r="B835" s="2" t="s">
        <v>2520</v>
      </c>
      <c r="C835" s="2" t="s">
        <v>2521</v>
      </c>
      <c r="D835" s="2" t="s">
        <v>10</v>
      </c>
      <c r="E835" s="2" t="s">
        <v>16</v>
      </c>
      <c r="F835" s="3" t="str">
        <f>HYPERLINK("http://ovidsp.ovid.com/ovidweb.cgi?T=JS&amp;NEWS=n&amp;CSC=Y&amp;PAGE=booktext&amp;D=books&amp;AN=01279771$&amp;XPATH=/PG(0)","http://ovidsp.ovid.com/ovidweb.cgi?T=JS&amp;NEWS=n&amp;CSC=Y&amp;PAGE=booktext&amp;D=books&amp;AN=01279771$&amp;XPATH=/PG(0)")</f>
        <v>http://ovidsp.ovid.com/ovidweb.cgi?T=JS&amp;NEWS=n&amp;CSC=Y&amp;PAGE=booktext&amp;D=books&amp;AN=01279771$&amp;XPATH=/PG(0)</v>
      </c>
      <c r="G835" s="2" t="s">
        <v>17</v>
      </c>
    </row>
    <row r="836" spans="1:7" x14ac:dyDescent="0.15">
      <c r="A836" s="2" t="s">
        <v>2522</v>
      </c>
      <c r="B836" s="2" t="s">
        <v>2523</v>
      </c>
      <c r="C836" s="2" t="s">
        <v>2524</v>
      </c>
      <c r="D836" s="2" t="s">
        <v>10</v>
      </c>
      <c r="E836" s="2" t="s">
        <v>49</v>
      </c>
      <c r="F836" s="3" t="str">
        <f>HYPERLINK("http://ovidsp.ovid.com/ovidweb.cgi?T=JS&amp;NEWS=n&amp;CSC=Y&amp;PAGE=booktext&amp;D=books&amp;AN=01382709$&amp;XPATH=/PG(0)","http://ovidsp.ovid.com/ovidweb.cgi?T=JS&amp;NEWS=n&amp;CSC=Y&amp;PAGE=booktext&amp;D=books&amp;AN=01382709$&amp;XPATH=/PG(0)")</f>
        <v>http://ovidsp.ovid.com/ovidweb.cgi?T=JS&amp;NEWS=n&amp;CSC=Y&amp;PAGE=booktext&amp;D=books&amp;AN=01382709$&amp;XPATH=/PG(0)</v>
      </c>
      <c r="G836" s="2" t="s">
        <v>17</v>
      </c>
    </row>
    <row r="837" spans="1:7" x14ac:dyDescent="0.15">
      <c r="A837" s="2" t="s">
        <v>2525</v>
      </c>
      <c r="B837" s="2" t="s">
        <v>2526</v>
      </c>
      <c r="C837" s="2" t="s">
        <v>2527</v>
      </c>
      <c r="D837" s="2" t="s">
        <v>10</v>
      </c>
      <c r="E837" s="2" t="s">
        <v>45</v>
      </c>
      <c r="F837" s="3" t="str">
        <f>HYPERLINK("http://ovidsp.ovid.com/ovidweb.cgi?T=JS&amp;NEWS=n&amp;CSC=Y&amp;PAGE=booktext&amp;D=books&amp;AN=01279772$&amp;XPATH=/PG(0)","http://ovidsp.ovid.com/ovidweb.cgi?T=JS&amp;NEWS=n&amp;CSC=Y&amp;PAGE=booktext&amp;D=books&amp;AN=01279772$&amp;XPATH=/PG(0)")</f>
        <v>http://ovidsp.ovid.com/ovidweb.cgi?T=JS&amp;NEWS=n&amp;CSC=Y&amp;PAGE=booktext&amp;D=books&amp;AN=01279772$&amp;XPATH=/PG(0)</v>
      </c>
      <c r="G837" s="2" t="s">
        <v>17</v>
      </c>
    </row>
    <row r="838" spans="1:7" x14ac:dyDescent="0.15">
      <c r="A838" s="2" t="s">
        <v>2528</v>
      </c>
      <c r="B838" s="2" t="s">
        <v>2529</v>
      </c>
      <c r="C838" s="2" t="s">
        <v>2530</v>
      </c>
      <c r="D838" s="2" t="s">
        <v>10</v>
      </c>
      <c r="E838" s="2" t="s">
        <v>235</v>
      </c>
      <c r="F838" s="3" t="str">
        <f>HYPERLINK("http://ovidsp.ovid.com/ovidweb.cgi?T=JS&amp;NEWS=n&amp;CSC=Y&amp;PAGE=booktext&amp;D=books&amp;AN=01382710$&amp;XPATH=/PG(0)","http://ovidsp.ovid.com/ovidweb.cgi?T=JS&amp;NEWS=n&amp;CSC=Y&amp;PAGE=booktext&amp;D=books&amp;AN=01382710$&amp;XPATH=/PG(0)")</f>
        <v>http://ovidsp.ovid.com/ovidweb.cgi?T=JS&amp;NEWS=n&amp;CSC=Y&amp;PAGE=booktext&amp;D=books&amp;AN=01382710$&amp;XPATH=/PG(0)</v>
      </c>
      <c r="G838" s="2" t="s">
        <v>17</v>
      </c>
    </row>
    <row r="839" spans="1:7" x14ac:dyDescent="0.15">
      <c r="A839" s="2" t="s">
        <v>2531</v>
      </c>
      <c r="B839" s="2" t="s">
        <v>2532</v>
      </c>
      <c r="C839" s="2" t="s">
        <v>2533</v>
      </c>
      <c r="D839" s="2" t="s">
        <v>10</v>
      </c>
      <c r="E839" s="2" t="s">
        <v>16</v>
      </c>
      <c r="F839" s="3" t="str">
        <f>HYPERLINK("http://ovidsp.ovid.com/ovidweb.cgi?T=JS&amp;NEWS=n&amp;CSC=Y&amp;PAGE=booktext&amp;D=books&amp;AN=01382702$&amp;XPATH=/PG(0)","http://ovidsp.ovid.com/ovidweb.cgi?T=JS&amp;NEWS=n&amp;CSC=Y&amp;PAGE=booktext&amp;D=books&amp;AN=01382702$&amp;XPATH=/PG(0)")</f>
        <v>http://ovidsp.ovid.com/ovidweb.cgi?T=JS&amp;NEWS=n&amp;CSC=Y&amp;PAGE=booktext&amp;D=books&amp;AN=01382702$&amp;XPATH=/PG(0)</v>
      </c>
      <c r="G839" s="2" t="s">
        <v>17</v>
      </c>
    </row>
    <row r="840" spans="1:7" x14ac:dyDescent="0.15">
      <c r="A840" s="2" t="s">
        <v>2534</v>
      </c>
      <c r="B840" s="2" t="s">
        <v>2535</v>
      </c>
      <c r="C840" s="2" t="s">
        <v>2536</v>
      </c>
      <c r="D840" s="2" t="s">
        <v>10</v>
      </c>
      <c r="E840" s="2" t="s">
        <v>45</v>
      </c>
      <c r="F840" s="3" t="str">
        <f>HYPERLINK("http://ovidsp.ovid.com/ovidweb.cgi?T=JS&amp;NEWS=n&amp;CSC=Y&amp;PAGE=booktext&amp;D=books&amp;AN=01382498$&amp;XPATH=/PG(0)","http://ovidsp.ovid.com/ovidweb.cgi?T=JS&amp;NEWS=n&amp;CSC=Y&amp;PAGE=booktext&amp;D=books&amp;AN=01382498$&amp;XPATH=/PG(0)")</f>
        <v>http://ovidsp.ovid.com/ovidweb.cgi?T=JS&amp;NEWS=n&amp;CSC=Y&amp;PAGE=booktext&amp;D=books&amp;AN=01382498$&amp;XPATH=/PG(0)</v>
      </c>
      <c r="G840" s="2" t="s">
        <v>17</v>
      </c>
    </row>
    <row r="841" spans="1:7" x14ac:dyDescent="0.15">
      <c r="A841" s="2" t="s">
        <v>2537</v>
      </c>
      <c r="B841" s="2" t="s">
        <v>2538</v>
      </c>
      <c r="C841" s="2" t="s">
        <v>2539</v>
      </c>
      <c r="D841" s="2" t="s">
        <v>10</v>
      </c>
      <c r="E841" s="2" t="s">
        <v>95</v>
      </c>
      <c r="F841" s="3" t="str">
        <f>HYPERLINK("http://ovidsp.ovid.com/ovidweb.cgi?T=JS&amp;NEWS=n&amp;CSC=Y&amp;PAGE=booktext&amp;D=books&amp;AN=01337354$&amp;XPATH=/PG(0)","http://ovidsp.ovid.com/ovidweb.cgi?T=JS&amp;NEWS=n&amp;CSC=Y&amp;PAGE=booktext&amp;D=books&amp;AN=01337354$&amp;XPATH=/PG(0)")</f>
        <v>http://ovidsp.ovid.com/ovidweb.cgi?T=JS&amp;NEWS=n&amp;CSC=Y&amp;PAGE=booktext&amp;D=books&amp;AN=01337354$&amp;XPATH=/PG(0)</v>
      </c>
      <c r="G841" s="2" t="s">
        <v>17</v>
      </c>
    </row>
    <row r="842" spans="1:7" x14ac:dyDescent="0.15">
      <c r="A842" s="2" t="s">
        <v>2540</v>
      </c>
      <c r="B842" s="2" t="s">
        <v>2541</v>
      </c>
      <c r="C842" s="2" t="s">
        <v>2542</v>
      </c>
      <c r="D842" s="2" t="s">
        <v>10</v>
      </c>
      <c r="E842" s="2" t="s">
        <v>49</v>
      </c>
      <c r="F842" s="3" t="str">
        <f>HYPERLINK("http://ovidsp.ovid.com/ovidweb.cgi?T=JS&amp;NEWS=n&amp;CSC=Y&amp;PAGE=booktext&amp;D=books&amp;AN=01279773$&amp;XPATH=/PG(0)","http://ovidsp.ovid.com/ovidweb.cgi?T=JS&amp;NEWS=n&amp;CSC=Y&amp;PAGE=booktext&amp;D=books&amp;AN=01279773$&amp;XPATH=/PG(0)")</f>
        <v>http://ovidsp.ovid.com/ovidweb.cgi?T=JS&amp;NEWS=n&amp;CSC=Y&amp;PAGE=booktext&amp;D=books&amp;AN=01279773$&amp;XPATH=/PG(0)</v>
      </c>
      <c r="G842" s="2" t="s">
        <v>17</v>
      </c>
    </row>
    <row r="843" spans="1:7" x14ac:dyDescent="0.15">
      <c r="A843" s="2" t="s">
        <v>2543</v>
      </c>
      <c r="B843" s="2" t="s">
        <v>2544</v>
      </c>
      <c r="C843" s="2" t="s">
        <v>2545</v>
      </c>
      <c r="D843" s="2" t="s">
        <v>10</v>
      </c>
      <c r="E843" s="2" t="s">
        <v>16</v>
      </c>
      <c r="F843" s="3" t="str">
        <f>HYPERLINK("http://ovidsp.ovid.com/ovidweb.cgi?T=JS&amp;NEWS=n&amp;CSC=Y&amp;PAGE=booktext&amp;D=books&amp;AN=01382711$&amp;XPATH=/PG(0)","http://ovidsp.ovid.com/ovidweb.cgi?T=JS&amp;NEWS=n&amp;CSC=Y&amp;PAGE=booktext&amp;D=books&amp;AN=01382711$&amp;XPATH=/PG(0)")</f>
        <v>http://ovidsp.ovid.com/ovidweb.cgi?T=JS&amp;NEWS=n&amp;CSC=Y&amp;PAGE=booktext&amp;D=books&amp;AN=01382711$&amp;XPATH=/PG(0)</v>
      </c>
      <c r="G843" s="2" t="s">
        <v>17</v>
      </c>
    </row>
    <row r="844" spans="1:7" x14ac:dyDescent="0.15">
      <c r="A844" s="2" t="s">
        <v>2546</v>
      </c>
      <c r="B844" s="2" t="s">
        <v>2547</v>
      </c>
      <c r="C844" s="2" t="s">
        <v>2548</v>
      </c>
      <c r="D844" s="2" t="s">
        <v>10</v>
      </c>
      <c r="E844" s="2" t="s">
        <v>16</v>
      </c>
      <c r="F844" s="3" t="str">
        <f>HYPERLINK("http://ovidsp.ovid.com/ovidweb.cgi?T=JS&amp;NEWS=n&amp;CSC=Y&amp;PAGE=booktext&amp;D=books&amp;AN=01382712$&amp;XPATH=/PG(0)","http://ovidsp.ovid.com/ovidweb.cgi?T=JS&amp;NEWS=n&amp;CSC=Y&amp;PAGE=booktext&amp;D=books&amp;AN=01382712$&amp;XPATH=/PG(0)")</f>
        <v>http://ovidsp.ovid.com/ovidweb.cgi?T=JS&amp;NEWS=n&amp;CSC=Y&amp;PAGE=booktext&amp;D=books&amp;AN=01382712$&amp;XPATH=/PG(0)</v>
      </c>
      <c r="G844" s="2" t="s">
        <v>17</v>
      </c>
    </row>
    <row r="845" spans="1:7" x14ac:dyDescent="0.15">
      <c r="A845" s="2" t="s">
        <v>2549</v>
      </c>
      <c r="B845" s="2" t="s">
        <v>2550</v>
      </c>
      <c r="C845" s="2" t="s">
        <v>2551</v>
      </c>
      <c r="D845" s="2" t="s">
        <v>10</v>
      </c>
      <c r="E845" s="2" t="s">
        <v>16</v>
      </c>
      <c r="F845" s="3" t="str">
        <f>HYPERLINK("http://ovidsp.ovid.com/ovidweb.cgi?T=JS&amp;NEWS=n&amp;CSC=Y&amp;PAGE=booktext&amp;D=books&amp;AN=01257046$&amp;XPATH=/PG(0)","http://ovidsp.ovid.com/ovidweb.cgi?T=JS&amp;NEWS=n&amp;CSC=Y&amp;PAGE=booktext&amp;D=books&amp;AN=01257046$&amp;XPATH=/PG(0)")</f>
        <v>http://ovidsp.ovid.com/ovidweb.cgi?T=JS&amp;NEWS=n&amp;CSC=Y&amp;PAGE=booktext&amp;D=books&amp;AN=01257046$&amp;XPATH=/PG(0)</v>
      </c>
      <c r="G845" s="2" t="s">
        <v>17</v>
      </c>
    </row>
    <row r="846" spans="1:7" x14ac:dyDescent="0.15">
      <c r="A846" s="2" t="s">
        <v>2552</v>
      </c>
      <c r="B846" s="2" t="s">
        <v>2553</v>
      </c>
      <c r="C846" s="2" t="s">
        <v>2554</v>
      </c>
      <c r="D846" s="2" t="s">
        <v>10</v>
      </c>
      <c r="E846" s="2" t="s">
        <v>16</v>
      </c>
      <c r="F846" s="3" t="str">
        <f>HYPERLINK("http://ovidsp.ovid.com/ovidweb.cgi?T=JS&amp;NEWS=n&amp;CSC=Y&amp;PAGE=booktext&amp;D=books&amp;AN=01279774$&amp;XPATH=/PG(0)","http://ovidsp.ovid.com/ovidweb.cgi?T=JS&amp;NEWS=n&amp;CSC=Y&amp;PAGE=booktext&amp;D=books&amp;AN=01279774$&amp;XPATH=/PG(0)")</f>
        <v>http://ovidsp.ovid.com/ovidweb.cgi?T=JS&amp;NEWS=n&amp;CSC=Y&amp;PAGE=booktext&amp;D=books&amp;AN=01279774$&amp;XPATH=/PG(0)</v>
      </c>
      <c r="G846" s="2" t="s">
        <v>17</v>
      </c>
    </row>
    <row r="847" spans="1:7" x14ac:dyDescent="0.15">
      <c r="A847" s="2" t="s">
        <v>2555</v>
      </c>
      <c r="B847" s="2" t="s">
        <v>2556</v>
      </c>
      <c r="C847" s="2" t="s">
        <v>2557</v>
      </c>
      <c r="D847" s="2" t="s">
        <v>10</v>
      </c>
      <c r="E847" s="2" t="s">
        <v>49</v>
      </c>
      <c r="F847" s="3" t="str">
        <f>HYPERLINK("http://ovidsp.ovid.com/ovidweb.cgi?T=JS&amp;NEWS=n&amp;CSC=Y&amp;PAGE=booktext&amp;D=books&amp;AN=01256979$&amp;XPATH=/PG(0)","http://ovidsp.ovid.com/ovidweb.cgi?T=JS&amp;NEWS=n&amp;CSC=Y&amp;PAGE=booktext&amp;D=books&amp;AN=01256979$&amp;XPATH=/PG(0)")</f>
        <v>http://ovidsp.ovid.com/ovidweb.cgi?T=JS&amp;NEWS=n&amp;CSC=Y&amp;PAGE=booktext&amp;D=books&amp;AN=01256979$&amp;XPATH=/PG(0)</v>
      </c>
      <c r="G847" s="2" t="s">
        <v>17</v>
      </c>
    </row>
    <row r="848" spans="1:7" x14ac:dyDescent="0.15">
      <c r="A848" s="2" t="s">
        <v>2558</v>
      </c>
      <c r="B848" s="2" t="s">
        <v>2559</v>
      </c>
      <c r="C848" s="2" t="s">
        <v>2560</v>
      </c>
      <c r="D848" s="2" t="s">
        <v>10</v>
      </c>
      <c r="E848" s="2" t="s">
        <v>235</v>
      </c>
      <c r="F848" s="3" t="str">
        <f>HYPERLINK("http://ovidsp.ovid.com/ovidweb.cgi?T=JS&amp;NEWS=n&amp;CSC=Y&amp;PAGE=booktext&amp;D=books&amp;AN=01261774$&amp;XPATH=/PG(0)","http://ovidsp.ovid.com/ovidweb.cgi?T=JS&amp;NEWS=n&amp;CSC=Y&amp;PAGE=booktext&amp;D=books&amp;AN=01261774$&amp;XPATH=/PG(0)")</f>
        <v>http://ovidsp.ovid.com/ovidweb.cgi?T=JS&amp;NEWS=n&amp;CSC=Y&amp;PAGE=booktext&amp;D=books&amp;AN=01261774$&amp;XPATH=/PG(0)</v>
      </c>
      <c r="G848" s="2" t="s">
        <v>17</v>
      </c>
    </row>
    <row r="849" spans="1:7" x14ac:dyDescent="0.15">
      <c r="A849" s="2" t="s">
        <v>2561</v>
      </c>
      <c r="B849" s="2" t="s">
        <v>2562</v>
      </c>
      <c r="C849" s="2" t="s">
        <v>2563</v>
      </c>
      <c r="D849" s="2" t="s">
        <v>2564</v>
      </c>
      <c r="E849" s="2" t="s">
        <v>16</v>
      </c>
      <c r="F849" s="3" t="str">
        <f>HYPERLINK("http://ovidsp.ovid.com/ovidweb.cgi?T=JS&amp;NEWS=n&amp;CSC=Y&amp;PAGE=booktext&amp;D=books&amp;AN=00140017$&amp;XPATH=/PG(0)","http://ovidsp.ovid.com/ovidweb.cgi?T=JS&amp;NEWS=n&amp;CSC=Y&amp;PAGE=booktext&amp;D=books&amp;AN=00140017$&amp;XPATH=/PG(0)")</f>
        <v>http://ovidsp.ovid.com/ovidweb.cgi?T=JS&amp;NEWS=n&amp;CSC=Y&amp;PAGE=booktext&amp;D=books&amp;AN=00140017$&amp;XPATH=/PG(0)</v>
      </c>
      <c r="G849" s="2" t="s">
        <v>12</v>
      </c>
    </row>
    <row r="850" spans="1:7" x14ac:dyDescent="0.15">
      <c r="A850" s="2" t="s">
        <v>2565</v>
      </c>
      <c r="B850" s="2" t="s">
        <v>2566</v>
      </c>
      <c r="C850" s="2" t="s">
        <v>2567</v>
      </c>
      <c r="D850" s="2" t="s">
        <v>10</v>
      </c>
      <c r="E850" s="2" t="s">
        <v>45</v>
      </c>
      <c r="F850" s="3" t="str">
        <f>HYPERLINK("http://ovidsp.ovid.com/ovidweb.cgi?T=JS&amp;NEWS=n&amp;CSC=Y&amp;PAGE=booktext&amp;D=books&amp;AN=01382713$&amp;XPATH=/PG(0)","http://ovidsp.ovid.com/ovidweb.cgi?T=JS&amp;NEWS=n&amp;CSC=Y&amp;PAGE=booktext&amp;D=books&amp;AN=01382713$&amp;XPATH=/PG(0)")</f>
        <v>http://ovidsp.ovid.com/ovidweb.cgi?T=JS&amp;NEWS=n&amp;CSC=Y&amp;PAGE=booktext&amp;D=books&amp;AN=01382713$&amp;XPATH=/PG(0)</v>
      </c>
      <c r="G850" s="2" t="s">
        <v>17</v>
      </c>
    </row>
    <row r="851" spans="1:7" x14ac:dyDescent="0.15">
      <c r="A851" s="2" t="s">
        <v>2568</v>
      </c>
      <c r="B851" s="2" t="s">
        <v>2569</v>
      </c>
      <c r="C851" s="2" t="s">
        <v>2570</v>
      </c>
      <c r="D851" s="2" t="s">
        <v>2571</v>
      </c>
      <c r="E851" s="2" t="s">
        <v>49</v>
      </c>
      <c r="F851" s="3" t="str">
        <f>HYPERLINK("http://ovidsp.ovid.com/ovidweb.cgi?T=JS&amp;NEWS=n&amp;CSC=Y&amp;PAGE=booktext&amp;D=books&amp;AN=00140018$&amp;XPATH=/PG(0)","http://ovidsp.ovid.com/ovidweb.cgi?T=JS&amp;NEWS=n&amp;CSC=Y&amp;PAGE=booktext&amp;D=books&amp;AN=00140018$&amp;XPATH=/PG(0)")</f>
        <v>http://ovidsp.ovid.com/ovidweb.cgi?T=JS&amp;NEWS=n&amp;CSC=Y&amp;PAGE=booktext&amp;D=books&amp;AN=00140018$&amp;XPATH=/PG(0)</v>
      </c>
      <c r="G851" s="2" t="s">
        <v>17</v>
      </c>
    </row>
    <row r="852" spans="1:7" x14ac:dyDescent="0.15">
      <c r="A852" s="2" t="s">
        <v>2572</v>
      </c>
      <c r="B852" s="2" t="s">
        <v>2573</v>
      </c>
      <c r="C852" s="2" t="s">
        <v>2574</v>
      </c>
      <c r="D852" s="2" t="s">
        <v>10</v>
      </c>
      <c r="E852" s="2" t="s">
        <v>53</v>
      </c>
      <c r="F852" s="3" t="str">
        <f>HYPERLINK("http://ovidsp.ovid.com/ovidweb.cgi?T=JS&amp;NEWS=n&amp;CSC=Y&amp;PAGE=booktext&amp;D=books&amp;AN=01337417$&amp;XPATH=/PG(0)","http://ovidsp.ovid.com/ovidweb.cgi?T=JS&amp;NEWS=n&amp;CSC=Y&amp;PAGE=booktext&amp;D=books&amp;AN=01337417$&amp;XPATH=/PG(0)")</f>
        <v>http://ovidsp.ovid.com/ovidweb.cgi?T=JS&amp;NEWS=n&amp;CSC=Y&amp;PAGE=booktext&amp;D=books&amp;AN=01337417$&amp;XPATH=/PG(0)</v>
      </c>
      <c r="G852" s="2" t="s">
        <v>17</v>
      </c>
    </row>
    <row r="853" spans="1:7" x14ac:dyDescent="0.15">
      <c r="A853" s="2" t="s">
        <v>2575</v>
      </c>
      <c r="B853" s="2" t="s">
        <v>2576</v>
      </c>
      <c r="C853" s="2" t="s">
        <v>2577</v>
      </c>
      <c r="D853" s="2" t="s">
        <v>10</v>
      </c>
      <c r="E853" s="2" t="s">
        <v>16</v>
      </c>
      <c r="F853" s="3" t="str">
        <f>HYPERLINK("http://ovidsp.ovid.com/ovidweb.cgi?T=JS&amp;NEWS=n&amp;CSC=Y&amp;PAGE=booktext&amp;D=books&amp;AN=01337258$&amp;XPATH=/PG(0)","http://ovidsp.ovid.com/ovidweb.cgi?T=JS&amp;NEWS=n&amp;CSC=Y&amp;PAGE=booktext&amp;D=books&amp;AN=01337258$&amp;XPATH=/PG(0)")</f>
        <v>http://ovidsp.ovid.com/ovidweb.cgi?T=JS&amp;NEWS=n&amp;CSC=Y&amp;PAGE=booktext&amp;D=books&amp;AN=01337258$&amp;XPATH=/PG(0)</v>
      </c>
      <c r="G853" s="2" t="s">
        <v>17</v>
      </c>
    </row>
    <row r="854" spans="1:7" x14ac:dyDescent="0.15">
      <c r="A854" s="2" t="s">
        <v>2578</v>
      </c>
      <c r="B854" s="2" t="s">
        <v>2579</v>
      </c>
      <c r="C854" s="2" t="s">
        <v>2580</v>
      </c>
      <c r="D854" s="2" t="s">
        <v>10</v>
      </c>
      <c r="E854" s="2" t="s">
        <v>16</v>
      </c>
      <c r="F854" s="3" t="str">
        <f>HYPERLINK("http://ovidsp.ovid.com/ovidweb.cgi?T=JS&amp;NEWS=n&amp;CSC=Y&amp;PAGE=booktext&amp;D=books&amp;AN=01279770$&amp;XPATH=/PG(0)","http://ovidsp.ovid.com/ovidweb.cgi?T=JS&amp;NEWS=n&amp;CSC=Y&amp;PAGE=booktext&amp;D=books&amp;AN=01279770$&amp;XPATH=/PG(0)")</f>
        <v>http://ovidsp.ovid.com/ovidweb.cgi?T=JS&amp;NEWS=n&amp;CSC=Y&amp;PAGE=booktext&amp;D=books&amp;AN=01279770$&amp;XPATH=/PG(0)</v>
      </c>
      <c r="G854" s="2" t="s">
        <v>17</v>
      </c>
    </row>
    <row r="855" spans="1:7" x14ac:dyDescent="0.15">
      <c r="A855" s="2" t="s">
        <v>2581</v>
      </c>
      <c r="B855" s="2" t="s">
        <v>2582</v>
      </c>
      <c r="C855" s="2" t="s">
        <v>2583</v>
      </c>
      <c r="D855" s="2" t="s">
        <v>10</v>
      </c>
      <c r="E855" s="2" t="s">
        <v>622</v>
      </c>
      <c r="F855" s="3" t="str">
        <f>HYPERLINK("http://ovidsp.ovid.com/ovidweb.cgi?T=JS&amp;NEWS=n&amp;CSC=Y&amp;PAGE=booktext&amp;D=books&amp;AN=01382714$&amp;XPATH=/PG(0)","http://ovidsp.ovid.com/ovidweb.cgi?T=JS&amp;NEWS=n&amp;CSC=Y&amp;PAGE=booktext&amp;D=books&amp;AN=01382714$&amp;XPATH=/PG(0)")</f>
        <v>http://ovidsp.ovid.com/ovidweb.cgi?T=JS&amp;NEWS=n&amp;CSC=Y&amp;PAGE=booktext&amp;D=books&amp;AN=01382714$&amp;XPATH=/PG(0)</v>
      </c>
      <c r="G855" s="2" t="s">
        <v>17</v>
      </c>
    </row>
    <row r="856" spans="1:7" x14ac:dyDescent="0.15">
      <c r="A856" s="2" t="s">
        <v>2584</v>
      </c>
      <c r="B856" s="2" t="s">
        <v>2585</v>
      </c>
      <c r="C856" s="2" t="s">
        <v>2586</v>
      </c>
      <c r="D856" s="2" t="s">
        <v>10</v>
      </c>
      <c r="E856" s="2" t="s">
        <v>49</v>
      </c>
      <c r="F856" s="3" t="str">
        <f>HYPERLINK("http://ovidsp.ovid.com/ovidweb.cgi?T=JS&amp;NEWS=n&amp;CSC=Y&amp;PAGE=booktext&amp;D=books&amp;AN=01382639$&amp;XPATH=/PG(0)","http://ovidsp.ovid.com/ovidweb.cgi?T=JS&amp;NEWS=n&amp;CSC=Y&amp;PAGE=booktext&amp;D=books&amp;AN=01382639$&amp;XPATH=/PG(0)")</f>
        <v>http://ovidsp.ovid.com/ovidweb.cgi?T=JS&amp;NEWS=n&amp;CSC=Y&amp;PAGE=booktext&amp;D=books&amp;AN=01382639$&amp;XPATH=/PG(0)</v>
      </c>
      <c r="G856" s="2" t="s">
        <v>17</v>
      </c>
    </row>
    <row r="857" spans="1:7" x14ac:dyDescent="0.15">
      <c r="A857" s="2" t="s">
        <v>2587</v>
      </c>
      <c r="B857" s="2" t="s">
        <v>2588</v>
      </c>
      <c r="C857" s="2" t="s">
        <v>2589</v>
      </c>
      <c r="D857" s="2" t="s">
        <v>10</v>
      </c>
      <c r="E857" s="2" t="s">
        <v>1241</v>
      </c>
      <c r="F857" s="3" t="str">
        <f>HYPERLINK("http://ovidsp.ovid.com/ovidweb.cgi?T=JS&amp;NEWS=n&amp;CSC=Y&amp;PAGE=booktext&amp;D=books&amp;AN=00140053$&amp;XPATH=/PG(0)","http://ovidsp.ovid.com/ovidweb.cgi?T=JS&amp;NEWS=n&amp;CSC=Y&amp;PAGE=booktext&amp;D=books&amp;AN=00140053$&amp;XPATH=/PG(0)")</f>
        <v>http://ovidsp.ovid.com/ovidweb.cgi?T=JS&amp;NEWS=n&amp;CSC=Y&amp;PAGE=booktext&amp;D=books&amp;AN=00140053$&amp;XPATH=/PG(0)</v>
      </c>
      <c r="G857" s="2" t="s">
        <v>17</v>
      </c>
    </row>
    <row r="858" spans="1:7" x14ac:dyDescent="0.15">
      <c r="A858" s="2" t="s">
        <v>2590</v>
      </c>
      <c r="B858" s="2" t="s">
        <v>2591</v>
      </c>
      <c r="C858" s="2" t="s">
        <v>2592</v>
      </c>
      <c r="D858" s="2" t="s">
        <v>10</v>
      </c>
      <c r="E858" s="2" t="s">
        <v>45</v>
      </c>
      <c r="F858" s="3" t="str">
        <f>HYPERLINK("http://ovidsp.ovid.com/ovidweb.cgi?T=JS&amp;NEWS=n&amp;CSC=Y&amp;PAGE=booktext&amp;D=books&amp;AN=00140054$&amp;XPATH=/PG(0)","http://ovidsp.ovid.com/ovidweb.cgi?T=JS&amp;NEWS=n&amp;CSC=Y&amp;PAGE=booktext&amp;D=books&amp;AN=00140054$&amp;XPATH=/PG(0)")</f>
        <v>http://ovidsp.ovid.com/ovidweb.cgi?T=JS&amp;NEWS=n&amp;CSC=Y&amp;PAGE=booktext&amp;D=books&amp;AN=00140054$&amp;XPATH=/PG(0)</v>
      </c>
      <c r="G858" s="2" t="s">
        <v>12</v>
      </c>
    </row>
    <row r="859" spans="1:7" x14ac:dyDescent="0.15">
      <c r="A859" s="2" t="s">
        <v>2593</v>
      </c>
      <c r="B859" s="2" t="s">
        <v>2594</v>
      </c>
      <c r="C859" s="2" t="s">
        <v>2595</v>
      </c>
      <c r="D859" s="2" t="s">
        <v>10</v>
      </c>
      <c r="E859" s="2" t="s">
        <v>45</v>
      </c>
      <c r="F859" s="3" t="str">
        <f>HYPERLINK("http://ovidsp.ovid.com/ovidweb.cgi?T=JS&amp;NEWS=n&amp;CSC=Y&amp;PAGE=booktext&amp;D=books&amp;AN=01256983$&amp;XPATH=/PG(0)","http://ovidsp.ovid.com/ovidweb.cgi?T=JS&amp;NEWS=n&amp;CSC=Y&amp;PAGE=booktext&amp;D=books&amp;AN=01256983$&amp;XPATH=/PG(0)")</f>
        <v>http://ovidsp.ovid.com/ovidweb.cgi?T=JS&amp;NEWS=n&amp;CSC=Y&amp;PAGE=booktext&amp;D=books&amp;AN=01256983$&amp;XPATH=/PG(0)</v>
      </c>
      <c r="G859" s="2" t="s">
        <v>17</v>
      </c>
    </row>
    <row r="860" spans="1:7" x14ac:dyDescent="0.15">
      <c r="A860" s="2" t="s">
        <v>2596</v>
      </c>
      <c r="B860" s="2" t="s">
        <v>2597</v>
      </c>
      <c r="C860" s="2" t="s">
        <v>2598</v>
      </c>
      <c r="D860" s="2" t="s">
        <v>10</v>
      </c>
      <c r="E860" s="2" t="s">
        <v>53</v>
      </c>
      <c r="F860" s="3" t="str">
        <f>HYPERLINK("http://ovidsp.ovid.com/ovidweb.cgi?T=JS&amp;NEWS=n&amp;CSC=Y&amp;PAGE=booktext&amp;D=books&amp;AN=01337416$&amp;XPATH=/PG(0)","http://ovidsp.ovid.com/ovidweb.cgi?T=JS&amp;NEWS=n&amp;CSC=Y&amp;PAGE=booktext&amp;D=books&amp;AN=01337416$&amp;XPATH=/PG(0)")</f>
        <v>http://ovidsp.ovid.com/ovidweb.cgi?T=JS&amp;NEWS=n&amp;CSC=Y&amp;PAGE=booktext&amp;D=books&amp;AN=01337416$&amp;XPATH=/PG(0)</v>
      </c>
      <c r="G860" s="2" t="s">
        <v>17</v>
      </c>
    </row>
    <row r="861" spans="1:7" x14ac:dyDescent="0.15">
      <c r="A861" s="2" t="s">
        <v>2599</v>
      </c>
      <c r="B861" s="2" t="s">
        <v>2600</v>
      </c>
      <c r="C861" s="2" t="s">
        <v>2601</v>
      </c>
      <c r="D861" s="2" t="s">
        <v>10</v>
      </c>
      <c r="E861" s="2" t="s">
        <v>49</v>
      </c>
      <c r="F861" s="3" t="str">
        <f>HYPERLINK("http://ovidsp.ovid.com/ovidweb.cgi?T=JS&amp;NEWS=n&amp;CSC=Y&amp;PAGE=booktext&amp;D=books&amp;AN=00140021$&amp;XPATH=/PG(0)","http://ovidsp.ovid.com/ovidweb.cgi?T=JS&amp;NEWS=n&amp;CSC=Y&amp;PAGE=booktext&amp;D=books&amp;AN=00140021$&amp;XPATH=/PG(0)")</f>
        <v>http://ovidsp.ovid.com/ovidweb.cgi?T=JS&amp;NEWS=n&amp;CSC=Y&amp;PAGE=booktext&amp;D=books&amp;AN=00140021$&amp;XPATH=/PG(0)</v>
      </c>
      <c r="G861" s="2" t="s">
        <v>17</v>
      </c>
    </row>
    <row r="862" spans="1:7" x14ac:dyDescent="0.15">
      <c r="A862" s="2" t="s">
        <v>2602</v>
      </c>
      <c r="B862" s="2" t="s">
        <v>2603</v>
      </c>
      <c r="C862" s="2" t="s">
        <v>2604</v>
      </c>
      <c r="D862" s="2" t="s">
        <v>10</v>
      </c>
      <c r="E862" s="2" t="s">
        <v>45</v>
      </c>
      <c r="F862" s="3" t="str">
        <f>HYPERLINK("http://ovidsp.ovid.com/ovidweb.cgi?T=JS&amp;NEWS=n&amp;CSC=Y&amp;PAGE=booktext&amp;D=books&amp;AN=01382743$&amp;XPATH=/PG(0)","http://ovidsp.ovid.com/ovidweb.cgi?T=JS&amp;NEWS=n&amp;CSC=Y&amp;PAGE=booktext&amp;D=books&amp;AN=01382743$&amp;XPATH=/PG(0)")</f>
        <v>http://ovidsp.ovid.com/ovidweb.cgi?T=JS&amp;NEWS=n&amp;CSC=Y&amp;PAGE=booktext&amp;D=books&amp;AN=01382743$&amp;XPATH=/PG(0)</v>
      </c>
      <c r="G862" s="2" t="s">
        <v>17</v>
      </c>
    </row>
    <row r="863" spans="1:7" x14ac:dyDescent="0.15">
      <c r="A863" s="2" t="s">
        <v>2605</v>
      </c>
      <c r="B863" s="2" t="s">
        <v>2606</v>
      </c>
      <c r="C863" s="2" t="s">
        <v>2607</v>
      </c>
      <c r="D863" s="2" t="s">
        <v>10</v>
      </c>
      <c r="E863" s="2" t="s">
        <v>16</v>
      </c>
      <c r="F863" s="3" t="str">
        <f>HYPERLINK("http://ovidsp.ovid.com/ovidweb.cgi?T=JS&amp;NEWS=n&amp;CSC=Y&amp;PAGE=booktext&amp;D=books&amp;AN=01257047$&amp;XPATH=/PG(0)","http://ovidsp.ovid.com/ovidweb.cgi?T=JS&amp;NEWS=n&amp;CSC=Y&amp;PAGE=booktext&amp;D=books&amp;AN=01257047$&amp;XPATH=/PG(0)")</f>
        <v>http://ovidsp.ovid.com/ovidweb.cgi?T=JS&amp;NEWS=n&amp;CSC=Y&amp;PAGE=booktext&amp;D=books&amp;AN=01257047$&amp;XPATH=/PG(0)</v>
      </c>
      <c r="G863" s="2" t="s">
        <v>17</v>
      </c>
    </row>
    <row r="864" spans="1:7" x14ac:dyDescent="0.15">
      <c r="A864" s="2" t="s">
        <v>2608</v>
      </c>
      <c r="B864" s="2" t="s">
        <v>2609</v>
      </c>
      <c r="C864" s="2" t="s">
        <v>2610</v>
      </c>
      <c r="D864" s="2" t="s">
        <v>10</v>
      </c>
      <c r="E864" s="2" t="s">
        <v>1484</v>
      </c>
      <c r="F864" s="3" t="str">
        <f>HYPERLINK("http://ovidsp.ovid.com/ovidweb.cgi?T=JS&amp;NEWS=n&amp;CSC=Y&amp;PAGE=booktext&amp;D=books&amp;AN=00140056$&amp;XPATH=/PG(0)","http://ovidsp.ovid.com/ovidweb.cgi?T=JS&amp;NEWS=n&amp;CSC=Y&amp;PAGE=booktext&amp;D=books&amp;AN=00140056$&amp;XPATH=/PG(0)")</f>
        <v>http://ovidsp.ovid.com/ovidweb.cgi?T=JS&amp;NEWS=n&amp;CSC=Y&amp;PAGE=booktext&amp;D=books&amp;AN=00140056$&amp;XPATH=/PG(0)</v>
      </c>
      <c r="G864" s="2" t="s">
        <v>17</v>
      </c>
    </row>
    <row r="865" spans="1:7" x14ac:dyDescent="0.15">
      <c r="A865" s="2" t="s">
        <v>2608</v>
      </c>
      <c r="B865" s="2" t="s">
        <v>2611</v>
      </c>
      <c r="C865" s="2" t="s">
        <v>2612</v>
      </c>
      <c r="D865" s="2" t="s">
        <v>10</v>
      </c>
      <c r="E865" s="2" t="s">
        <v>11</v>
      </c>
      <c r="F865" s="3" t="str">
        <f>HYPERLINK("http://ovidsp.ovid.com/ovidweb.cgi?T=JS&amp;NEWS=n&amp;CSC=Y&amp;PAGE=booktext&amp;D=books&amp;AN=01337303$&amp;XPATH=/PG(0)","http://ovidsp.ovid.com/ovidweb.cgi?T=JS&amp;NEWS=n&amp;CSC=Y&amp;PAGE=booktext&amp;D=books&amp;AN=01337303$&amp;XPATH=/PG(0)")</f>
        <v>http://ovidsp.ovid.com/ovidweb.cgi?T=JS&amp;NEWS=n&amp;CSC=Y&amp;PAGE=booktext&amp;D=books&amp;AN=01337303$&amp;XPATH=/PG(0)</v>
      </c>
      <c r="G865" s="2" t="s">
        <v>17</v>
      </c>
    </row>
    <row r="866" spans="1:7" x14ac:dyDescent="0.15">
      <c r="A866" s="2" t="s">
        <v>2613</v>
      </c>
      <c r="B866" s="2" t="s">
        <v>2614</v>
      </c>
      <c r="C866" s="2" t="s">
        <v>2615</v>
      </c>
      <c r="D866" s="2" t="s">
        <v>10</v>
      </c>
      <c r="E866" s="2" t="s">
        <v>16</v>
      </c>
      <c r="F866" s="3" t="str">
        <f>HYPERLINK("http://ovidsp.ovid.com/ovidweb.cgi?T=JS&amp;NEWS=n&amp;CSC=Y&amp;PAGE=booktext&amp;D=books&amp;AN=01382882$&amp;XPATH=/PG(0)","http://ovidsp.ovid.com/ovidweb.cgi?T=JS&amp;NEWS=n&amp;CSC=Y&amp;PAGE=booktext&amp;D=books&amp;AN=01382882$&amp;XPATH=/PG(0)")</f>
        <v>http://ovidsp.ovid.com/ovidweb.cgi?T=JS&amp;NEWS=n&amp;CSC=Y&amp;PAGE=booktext&amp;D=books&amp;AN=01382882$&amp;XPATH=/PG(0)</v>
      </c>
      <c r="G866" s="2" t="s">
        <v>17</v>
      </c>
    </row>
    <row r="867" spans="1:7" x14ac:dyDescent="0.15">
      <c r="A867" s="2" t="s">
        <v>2616</v>
      </c>
      <c r="B867" s="2" t="s">
        <v>2617</v>
      </c>
      <c r="C867" s="2" t="s">
        <v>2618</v>
      </c>
      <c r="D867" s="2" t="s">
        <v>10</v>
      </c>
      <c r="E867" s="2" t="s">
        <v>16</v>
      </c>
      <c r="F867" s="3" t="str">
        <f>HYPERLINK("http://ovidsp.ovid.com/ovidweb.cgi?T=JS&amp;NEWS=n&amp;CSC=Y&amp;PAGE=booktext&amp;D=books&amp;AN=01382715$&amp;XPATH=/PG(0)","http://ovidsp.ovid.com/ovidweb.cgi?T=JS&amp;NEWS=n&amp;CSC=Y&amp;PAGE=booktext&amp;D=books&amp;AN=01382715$&amp;XPATH=/PG(0)")</f>
        <v>http://ovidsp.ovid.com/ovidweb.cgi?T=JS&amp;NEWS=n&amp;CSC=Y&amp;PAGE=booktext&amp;D=books&amp;AN=01382715$&amp;XPATH=/PG(0)</v>
      </c>
      <c r="G867" s="2" t="s">
        <v>17</v>
      </c>
    </row>
    <row r="868" spans="1:7" x14ac:dyDescent="0.15">
      <c r="A868" s="2" t="s">
        <v>2619</v>
      </c>
      <c r="B868" s="2" t="s">
        <v>2620</v>
      </c>
      <c r="C868" s="2" t="s">
        <v>2621</v>
      </c>
      <c r="D868" s="2" t="s">
        <v>10</v>
      </c>
      <c r="E868" s="2" t="s">
        <v>45</v>
      </c>
      <c r="F868" s="3" t="str">
        <f>HYPERLINK("http://ovidsp.ovid.com/ovidweb.cgi?T=JS&amp;NEWS=n&amp;CSC=Y&amp;PAGE=booktext&amp;D=books&amp;AN=01382754$&amp;XPATH=/PG(0)","http://ovidsp.ovid.com/ovidweb.cgi?T=JS&amp;NEWS=n&amp;CSC=Y&amp;PAGE=booktext&amp;D=books&amp;AN=01382754$&amp;XPATH=/PG(0)")</f>
        <v>http://ovidsp.ovid.com/ovidweb.cgi?T=JS&amp;NEWS=n&amp;CSC=Y&amp;PAGE=booktext&amp;D=books&amp;AN=01382754$&amp;XPATH=/PG(0)</v>
      </c>
      <c r="G868" s="2" t="s">
        <v>12</v>
      </c>
    </row>
    <row r="869" spans="1:7" x14ac:dyDescent="0.15">
      <c r="A869" s="2" t="s">
        <v>2622</v>
      </c>
      <c r="B869" s="2" t="s">
        <v>2623</v>
      </c>
      <c r="C869" s="2" t="s">
        <v>2624</v>
      </c>
      <c r="D869" s="2" t="s">
        <v>10</v>
      </c>
      <c r="E869" s="2" t="s">
        <v>16</v>
      </c>
      <c r="F869" s="3" t="str">
        <f>HYPERLINK("http://ovidsp.ovid.com/ovidweb.cgi?T=JS&amp;NEWS=n&amp;CSC=Y&amp;PAGE=booktext&amp;D=books&amp;AN=01382801$&amp;XPATH=/PG(0)","http://ovidsp.ovid.com/ovidweb.cgi?T=JS&amp;NEWS=n&amp;CSC=Y&amp;PAGE=booktext&amp;D=books&amp;AN=01382801$&amp;XPATH=/PG(0)")</f>
        <v>http://ovidsp.ovid.com/ovidweb.cgi?T=JS&amp;NEWS=n&amp;CSC=Y&amp;PAGE=booktext&amp;D=books&amp;AN=01382801$&amp;XPATH=/PG(0)</v>
      </c>
      <c r="G869" s="2" t="s">
        <v>12</v>
      </c>
    </row>
    <row r="870" spans="1:7" x14ac:dyDescent="0.15">
      <c r="A870" s="2" t="s">
        <v>2625</v>
      </c>
      <c r="B870" s="2" t="s">
        <v>2626</v>
      </c>
      <c r="C870" s="2" t="s">
        <v>2627</v>
      </c>
      <c r="D870" s="2" t="s">
        <v>10</v>
      </c>
      <c r="E870" s="2" t="s">
        <v>45</v>
      </c>
      <c r="F870" s="3" t="str">
        <f>HYPERLINK("http://ovidsp.ovid.com/ovidweb.cgi?T=JS&amp;NEWS=n&amp;CSC=Y&amp;PAGE=booktext&amp;D=books&amp;AN=01382788$&amp;XPATH=/PG(0)","http://ovidsp.ovid.com/ovidweb.cgi?T=JS&amp;NEWS=n&amp;CSC=Y&amp;PAGE=booktext&amp;D=books&amp;AN=01382788$&amp;XPATH=/PG(0)")</f>
        <v>http://ovidsp.ovid.com/ovidweb.cgi?T=JS&amp;NEWS=n&amp;CSC=Y&amp;PAGE=booktext&amp;D=books&amp;AN=01382788$&amp;XPATH=/PG(0)</v>
      </c>
      <c r="G870" s="2" t="s">
        <v>12</v>
      </c>
    </row>
    <row r="871" spans="1:7" x14ac:dyDescent="0.15">
      <c r="A871" s="2" t="s">
        <v>2628</v>
      </c>
      <c r="B871" s="2" t="s">
        <v>2629</v>
      </c>
      <c r="C871" s="2" t="s">
        <v>2630</v>
      </c>
      <c r="D871" s="2" t="s">
        <v>10</v>
      </c>
      <c r="E871" s="2" t="s">
        <v>16</v>
      </c>
      <c r="F871" s="3" t="str">
        <f>HYPERLINK("http://ovidsp.ovid.com/ovidweb.cgi?T=JS&amp;NEWS=n&amp;CSC=Y&amp;PAGE=booktext&amp;D=books&amp;AN=01382766$&amp;XPATH=/PG(0)","http://ovidsp.ovid.com/ovidweb.cgi?T=JS&amp;NEWS=n&amp;CSC=Y&amp;PAGE=booktext&amp;D=books&amp;AN=01382766$&amp;XPATH=/PG(0)")</f>
        <v>http://ovidsp.ovid.com/ovidweb.cgi?T=JS&amp;NEWS=n&amp;CSC=Y&amp;PAGE=booktext&amp;D=books&amp;AN=01382766$&amp;XPATH=/PG(0)</v>
      </c>
      <c r="G871" s="2" t="s">
        <v>12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Cheung</dc:creator>
  <cp:lastModifiedBy>Chris Cheung</cp:lastModifiedBy>
  <dcterms:created xsi:type="dcterms:W3CDTF">2016-07-22T02:47:09Z</dcterms:created>
  <dcterms:modified xsi:type="dcterms:W3CDTF">2016-07-22T02:47:46Z</dcterms:modified>
</cp:coreProperties>
</file>